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worksheets/sheet155.xml" ContentType="application/vnd.openxmlformats-officedocument.spreadsheetml.worksheet+xml"/>
  <Override PartName="/xl/worksheets/sheet156.xml" ContentType="application/vnd.openxmlformats-officedocument.spreadsheetml.worksheet+xml"/>
  <Override PartName="/xl/worksheets/sheet157.xml" ContentType="application/vnd.openxmlformats-officedocument.spreadsheetml.worksheet+xml"/>
  <Override PartName="/xl/worksheets/sheet158.xml" ContentType="application/vnd.openxmlformats-officedocument.spreadsheetml.worksheet+xml"/>
  <Override PartName="/xl/worksheets/sheet159.xml" ContentType="application/vnd.openxmlformats-officedocument.spreadsheetml.worksheet+xml"/>
  <Override PartName="/xl/worksheets/sheet160.xml" ContentType="application/vnd.openxmlformats-officedocument.spreadsheetml.worksheet+xml"/>
  <Override PartName="/xl/worksheets/sheet161.xml" ContentType="application/vnd.openxmlformats-officedocument.spreadsheetml.worksheet+xml"/>
  <Override PartName="/xl/worksheets/sheet162.xml" ContentType="application/vnd.openxmlformats-officedocument.spreadsheetml.worksheet+xml"/>
  <Override PartName="/xl/worksheets/sheet163.xml" ContentType="application/vnd.openxmlformats-officedocument.spreadsheetml.worksheet+xml"/>
  <Override PartName="/xl/worksheets/sheet164.xml" ContentType="application/vnd.openxmlformats-officedocument.spreadsheetml.worksheet+xml"/>
  <Override PartName="/xl/worksheets/sheet165.xml" ContentType="application/vnd.openxmlformats-officedocument.spreadsheetml.worksheet+xml"/>
  <Override PartName="/xl/worksheets/sheet166.xml" ContentType="application/vnd.openxmlformats-officedocument.spreadsheetml.worksheet+xml"/>
  <Override PartName="/xl/worksheets/sheet167.xml" ContentType="application/vnd.openxmlformats-officedocument.spreadsheetml.worksheet+xml"/>
  <Override PartName="/xl/worksheets/sheet168.xml" ContentType="application/vnd.openxmlformats-officedocument.spreadsheetml.worksheet+xml"/>
  <Override PartName="/xl/worksheets/sheet169.xml" ContentType="application/vnd.openxmlformats-officedocument.spreadsheetml.worksheet+xml"/>
  <Override PartName="/xl/worksheets/sheet170.xml" ContentType="application/vnd.openxmlformats-officedocument.spreadsheetml.worksheet+xml"/>
  <Override PartName="/xl/worksheets/sheet171.xml" ContentType="application/vnd.openxmlformats-officedocument.spreadsheetml.worksheet+xml"/>
  <Override PartName="/xl/worksheets/sheet172.xml" ContentType="application/vnd.openxmlformats-officedocument.spreadsheetml.worksheet+xml"/>
  <Override PartName="/xl/worksheets/sheet173.xml" ContentType="application/vnd.openxmlformats-officedocument.spreadsheetml.worksheet+xml"/>
  <Override PartName="/xl/worksheets/sheet174.xml" ContentType="application/vnd.openxmlformats-officedocument.spreadsheetml.worksheet+xml"/>
  <Override PartName="/xl/worksheets/sheet175.xml" ContentType="application/vnd.openxmlformats-officedocument.spreadsheetml.worksheet+xml"/>
  <Override PartName="/xl/worksheets/sheet176.xml" ContentType="application/vnd.openxmlformats-officedocument.spreadsheetml.worksheet+xml"/>
  <Override PartName="/xl/worksheets/sheet177.xml" ContentType="application/vnd.openxmlformats-officedocument.spreadsheetml.worksheet+xml"/>
  <Override PartName="/xl/worksheets/sheet178.xml" ContentType="application/vnd.openxmlformats-officedocument.spreadsheetml.worksheet+xml"/>
  <Override PartName="/xl/worksheets/sheet179.xml" ContentType="application/vnd.openxmlformats-officedocument.spreadsheetml.worksheet+xml"/>
  <Override PartName="/xl/worksheets/sheet180.xml" ContentType="application/vnd.openxmlformats-officedocument.spreadsheetml.worksheet+xml"/>
  <Override PartName="/xl/worksheets/sheet181.xml" ContentType="application/vnd.openxmlformats-officedocument.spreadsheetml.worksheet+xml"/>
  <Override PartName="/xl/worksheets/sheet182.xml" ContentType="application/vnd.openxmlformats-officedocument.spreadsheetml.worksheet+xml"/>
  <Override PartName="/xl/worksheets/sheet183.xml" ContentType="application/vnd.openxmlformats-officedocument.spreadsheetml.worksheet+xml"/>
  <Override PartName="/xl/worksheets/sheet184.xml" ContentType="application/vnd.openxmlformats-officedocument.spreadsheetml.worksheet+xml"/>
  <Override PartName="/xl/worksheets/sheet185.xml" ContentType="application/vnd.openxmlformats-officedocument.spreadsheetml.worksheet+xml"/>
  <Override PartName="/xl/worksheets/sheet186.xml" ContentType="application/vnd.openxmlformats-officedocument.spreadsheetml.worksheet+xml"/>
  <Override PartName="/xl/worksheets/sheet187.xml" ContentType="application/vnd.openxmlformats-officedocument.spreadsheetml.worksheet+xml"/>
  <Override PartName="/xl/worksheets/sheet188.xml" ContentType="application/vnd.openxmlformats-officedocument.spreadsheetml.worksheet+xml"/>
  <Override PartName="/xl/worksheets/sheet189.xml" ContentType="application/vnd.openxmlformats-officedocument.spreadsheetml.worksheet+xml"/>
  <Override PartName="/xl/worksheets/sheet190.xml" ContentType="application/vnd.openxmlformats-officedocument.spreadsheetml.worksheet+xml"/>
  <Override PartName="/xl/worksheets/sheet191.xml" ContentType="application/vnd.openxmlformats-officedocument.spreadsheetml.worksheet+xml"/>
  <Override PartName="/xl/worksheets/sheet192.xml" ContentType="application/vnd.openxmlformats-officedocument.spreadsheetml.worksheet+xml"/>
  <Override PartName="/xl/worksheets/sheet193.xml" ContentType="application/vnd.openxmlformats-officedocument.spreadsheetml.worksheet+xml"/>
  <Override PartName="/xl/worksheets/sheet194.xml" ContentType="application/vnd.openxmlformats-officedocument.spreadsheetml.worksheet+xml"/>
  <Override PartName="/xl/worksheets/sheet195.xml" ContentType="application/vnd.openxmlformats-officedocument.spreadsheetml.worksheet+xml"/>
  <Override PartName="/xl/worksheets/sheet196.xml" ContentType="application/vnd.openxmlformats-officedocument.spreadsheetml.worksheet+xml"/>
  <Override PartName="/xl/worksheets/sheet197.xml" ContentType="application/vnd.openxmlformats-officedocument.spreadsheetml.worksheet+xml"/>
  <Override PartName="/xl/worksheets/sheet198.xml" ContentType="application/vnd.openxmlformats-officedocument.spreadsheetml.worksheet+xml"/>
  <Override PartName="/xl/worksheets/sheet199.xml" ContentType="application/vnd.openxmlformats-officedocument.spreadsheetml.worksheet+xml"/>
  <Override PartName="/xl/worksheets/sheet200.xml" ContentType="application/vnd.openxmlformats-officedocument.spreadsheetml.worksheet+xml"/>
  <Override PartName="/xl/worksheets/sheet201.xml" ContentType="application/vnd.openxmlformats-officedocument.spreadsheetml.worksheet+xml"/>
  <Override PartName="/xl/worksheets/sheet202.xml" ContentType="application/vnd.openxmlformats-officedocument.spreadsheetml.worksheet+xml"/>
  <Override PartName="/xl/worksheets/sheet203.xml" ContentType="application/vnd.openxmlformats-officedocument.spreadsheetml.worksheet+xml"/>
  <Override PartName="/xl/worksheets/sheet204.xml" ContentType="application/vnd.openxmlformats-officedocument.spreadsheetml.worksheet+xml"/>
  <Override PartName="/xl/worksheets/sheet205.xml" ContentType="application/vnd.openxmlformats-officedocument.spreadsheetml.worksheet+xml"/>
  <Override PartName="/xl/worksheets/sheet206.xml" ContentType="application/vnd.openxmlformats-officedocument.spreadsheetml.worksheet+xml"/>
  <Override PartName="/xl/worksheets/sheet207.xml" ContentType="application/vnd.openxmlformats-officedocument.spreadsheetml.worksheet+xml"/>
  <Override PartName="/xl/worksheets/sheet208.xml" ContentType="application/vnd.openxmlformats-officedocument.spreadsheetml.worksheet+xml"/>
  <Override PartName="/xl/worksheets/sheet209.xml" ContentType="application/vnd.openxmlformats-officedocument.spreadsheetml.worksheet+xml"/>
  <Override PartName="/xl/worksheets/sheet210.xml" ContentType="application/vnd.openxmlformats-officedocument.spreadsheetml.worksheet+xml"/>
  <Override PartName="/xl/worksheets/sheet211.xml" ContentType="application/vnd.openxmlformats-officedocument.spreadsheetml.worksheet+xml"/>
  <Override PartName="/xl/worksheets/sheet212.xml" ContentType="application/vnd.openxmlformats-officedocument.spreadsheetml.worksheet+xml"/>
  <Override PartName="/xl/worksheets/sheet213.xml" ContentType="application/vnd.openxmlformats-officedocument.spreadsheetml.worksheet+xml"/>
  <Override PartName="/xl/worksheets/sheet214.xml" ContentType="application/vnd.openxmlformats-officedocument.spreadsheetml.worksheet+xml"/>
  <Override PartName="/xl/worksheets/sheet215.xml" ContentType="application/vnd.openxmlformats-officedocument.spreadsheetml.worksheet+xml"/>
  <Override PartName="/xl/worksheets/sheet216.xml" ContentType="application/vnd.openxmlformats-officedocument.spreadsheetml.worksheet+xml"/>
  <Override PartName="/xl/worksheets/sheet217.xml" ContentType="application/vnd.openxmlformats-officedocument.spreadsheetml.worksheet+xml"/>
  <Override PartName="/xl/worksheets/sheet218.xml" ContentType="application/vnd.openxmlformats-officedocument.spreadsheetml.worksheet+xml"/>
  <Override PartName="/xl/worksheets/sheet219.xml" ContentType="application/vnd.openxmlformats-officedocument.spreadsheetml.worksheet+xml"/>
  <Override PartName="/xl/worksheets/sheet220.xml" ContentType="application/vnd.openxmlformats-officedocument.spreadsheetml.worksheet+xml"/>
  <Override PartName="/xl/worksheets/sheet221.xml" ContentType="application/vnd.openxmlformats-officedocument.spreadsheetml.worksheet+xml"/>
  <Override PartName="/xl/worksheets/sheet222.xml" ContentType="application/vnd.openxmlformats-officedocument.spreadsheetml.worksheet+xml"/>
  <Override PartName="/xl/worksheets/sheet223.xml" ContentType="application/vnd.openxmlformats-officedocument.spreadsheetml.worksheet+xml"/>
  <Override PartName="/xl/worksheets/sheet224.xml" ContentType="application/vnd.openxmlformats-officedocument.spreadsheetml.worksheet+xml"/>
  <Override PartName="/xl/worksheets/sheet225.xml" ContentType="application/vnd.openxmlformats-officedocument.spreadsheetml.worksheet+xml"/>
  <Override PartName="/xl/worksheets/sheet226.xml" ContentType="application/vnd.openxmlformats-officedocument.spreadsheetml.worksheet+xml"/>
  <Override PartName="/xl/worksheets/sheet227.xml" ContentType="application/vnd.openxmlformats-officedocument.spreadsheetml.worksheet+xml"/>
  <Override PartName="/xl/worksheets/sheet228.xml" ContentType="application/vnd.openxmlformats-officedocument.spreadsheetml.worksheet+xml"/>
  <Override PartName="/xl/worksheets/sheet229.xml" ContentType="application/vnd.openxmlformats-officedocument.spreadsheetml.worksheet+xml"/>
  <Override PartName="/xl/worksheets/sheet230.xml" ContentType="application/vnd.openxmlformats-officedocument.spreadsheetml.worksheet+xml"/>
  <Override PartName="/xl/worksheets/sheet231.xml" ContentType="application/vnd.openxmlformats-officedocument.spreadsheetml.worksheet+xml"/>
  <Override PartName="/xl/worksheets/sheet232.xml" ContentType="application/vnd.openxmlformats-officedocument.spreadsheetml.worksheet+xml"/>
  <Override PartName="/xl/worksheets/sheet233.xml" ContentType="application/vnd.openxmlformats-officedocument.spreadsheetml.worksheet+xml"/>
  <Override PartName="/xl/worksheets/sheet234.xml" ContentType="application/vnd.openxmlformats-officedocument.spreadsheetml.worksheet+xml"/>
  <Override PartName="/xl/worksheets/sheet235.xml" ContentType="application/vnd.openxmlformats-officedocument.spreadsheetml.worksheet+xml"/>
  <Override PartName="/xl/worksheets/sheet236.xml" ContentType="application/vnd.openxmlformats-officedocument.spreadsheetml.worksheet+xml"/>
  <Override PartName="/xl/worksheets/sheet237.xml" ContentType="application/vnd.openxmlformats-officedocument.spreadsheetml.worksheet+xml"/>
  <Override PartName="/xl/worksheets/sheet238.xml" ContentType="application/vnd.openxmlformats-officedocument.spreadsheetml.worksheet+xml"/>
  <Override PartName="/xl/worksheets/sheet239.xml" ContentType="application/vnd.openxmlformats-officedocument.spreadsheetml.worksheet+xml"/>
  <Override PartName="/xl/worksheets/sheet240.xml" ContentType="application/vnd.openxmlformats-officedocument.spreadsheetml.worksheet+xml"/>
  <Override PartName="/xl/worksheets/sheet241.xml" ContentType="application/vnd.openxmlformats-officedocument.spreadsheetml.worksheet+xml"/>
  <Override PartName="/xl/worksheets/sheet242.xml" ContentType="application/vnd.openxmlformats-officedocument.spreadsheetml.worksheet+xml"/>
  <Override PartName="/xl/worksheets/sheet243.xml" ContentType="application/vnd.openxmlformats-officedocument.spreadsheetml.worksheet+xml"/>
  <Override PartName="/xl/worksheets/sheet244.xml" ContentType="application/vnd.openxmlformats-officedocument.spreadsheetml.worksheet+xml"/>
  <Override PartName="/xl/worksheets/sheet245.xml" ContentType="application/vnd.openxmlformats-officedocument.spreadsheetml.worksheet+xml"/>
  <Override PartName="/xl/worksheets/sheet246.xml" ContentType="application/vnd.openxmlformats-officedocument.spreadsheetml.worksheet+xml"/>
  <Override PartName="/xl/worksheets/sheet247.xml" ContentType="application/vnd.openxmlformats-officedocument.spreadsheetml.worksheet+xml"/>
  <Override PartName="/xl/worksheets/sheet248.xml" ContentType="application/vnd.openxmlformats-officedocument.spreadsheetml.worksheet+xml"/>
  <Override PartName="/xl/worksheets/sheet249.xml" ContentType="application/vnd.openxmlformats-officedocument.spreadsheetml.worksheet+xml"/>
  <Override PartName="/xl/worksheets/sheet250.xml" ContentType="application/vnd.openxmlformats-officedocument.spreadsheetml.worksheet+xml"/>
  <Override PartName="/xl/worksheets/sheet251.xml" ContentType="application/vnd.openxmlformats-officedocument.spreadsheetml.worksheet+xml"/>
  <Override PartName="/xl/worksheets/sheet252.xml" ContentType="application/vnd.openxmlformats-officedocument.spreadsheetml.worksheet+xml"/>
  <Override PartName="/xl/worksheets/sheet253.xml" ContentType="application/vnd.openxmlformats-officedocument.spreadsheetml.worksheet+xml"/>
  <Override PartName="/xl/worksheets/sheet254.xml" ContentType="application/vnd.openxmlformats-officedocument.spreadsheetml.worksheet+xml"/>
  <Override PartName="/xl/worksheets/sheet255.xml" ContentType="application/vnd.openxmlformats-officedocument.spreadsheetml.worksheet+xml"/>
  <Override PartName="/xl/worksheets/sheet256.xml" ContentType="application/vnd.openxmlformats-officedocument.spreadsheetml.worksheet+xml"/>
  <Override PartName="/xl/worksheets/sheet257.xml" ContentType="application/vnd.openxmlformats-officedocument.spreadsheetml.worksheet+xml"/>
  <Override PartName="/xl/worksheets/sheet258.xml" ContentType="application/vnd.openxmlformats-officedocument.spreadsheetml.worksheet+xml"/>
  <Override PartName="/xl/worksheets/sheet259.xml" ContentType="application/vnd.openxmlformats-officedocument.spreadsheetml.worksheet+xml"/>
  <Override PartName="/xl/worksheets/sheet260.xml" ContentType="application/vnd.openxmlformats-officedocument.spreadsheetml.worksheet+xml"/>
  <Override PartName="/xl/worksheets/sheet261.xml" ContentType="application/vnd.openxmlformats-officedocument.spreadsheetml.worksheet+xml"/>
  <Override PartName="/xl/worksheets/sheet262.xml" ContentType="application/vnd.openxmlformats-officedocument.spreadsheetml.worksheet+xml"/>
  <Override PartName="/xl/worksheets/sheet263.xml" ContentType="application/vnd.openxmlformats-officedocument.spreadsheetml.worksheet+xml"/>
  <Override PartName="/xl/worksheets/sheet264.xml" ContentType="application/vnd.openxmlformats-officedocument.spreadsheetml.worksheet+xml"/>
  <Override PartName="/xl/worksheets/sheet265.xml" ContentType="application/vnd.openxmlformats-officedocument.spreadsheetml.worksheet+xml"/>
  <Override PartName="/xl/worksheets/sheet266.xml" ContentType="application/vnd.openxmlformats-officedocument.spreadsheetml.worksheet+xml"/>
  <Override PartName="/xl/worksheets/sheet267.xml" ContentType="application/vnd.openxmlformats-officedocument.spreadsheetml.worksheet+xml"/>
  <Override PartName="/xl/worksheets/sheet268.xml" ContentType="application/vnd.openxmlformats-officedocument.spreadsheetml.worksheet+xml"/>
  <Override PartName="/xl/worksheets/sheet269.xml" ContentType="application/vnd.openxmlformats-officedocument.spreadsheetml.worksheet+xml"/>
  <Override PartName="/xl/worksheets/sheet270.xml" ContentType="application/vnd.openxmlformats-officedocument.spreadsheetml.worksheet+xml"/>
  <Override PartName="/xl/worksheets/sheet271.xml" ContentType="application/vnd.openxmlformats-officedocument.spreadsheetml.worksheet+xml"/>
  <Override PartName="/xl/worksheets/sheet272.xml" ContentType="application/vnd.openxmlformats-officedocument.spreadsheetml.worksheet+xml"/>
  <Override PartName="/xl/worksheets/sheet273.xml" ContentType="application/vnd.openxmlformats-officedocument.spreadsheetml.worksheet+xml"/>
  <Override PartName="/xl/worksheets/sheet274.xml" ContentType="application/vnd.openxmlformats-officedocument.spreadsheetml.worksheet+xml"/>
  <Override PartName="/xl/worksheets/sheet275.xml" ContentType="application/vnd.openxmlformats-officedocument.spreadsheetml.worksheet+xml"/>
  <Override PartName="/xl/worksheets/sheet276.xml" ContentType="application/vnd.openxmlformats-officedocument.spreadsheetml.worksheet+xml"/>
  <Override PartName="/xl/worksheets/sheet277.xml" ContentType="application/vnd.openxmlformats-officedocument.spreadsheetml.worksheet+xml"/>
  <Override PartName="/xl/worksheets/sheet278.xml" ContentType="application/vnd.openxmlformats-officedocument.spreadsheetml.worksheet+xml"/>
  <Override PartName="/xl/worksheets/sheet279.xml" ContentType="application/vnd.openxmlformats-officedocument.spreadsheetml.worksheet+xml"/>
  <Override PartName="/xl/worksheets/sheet280.xml" ContentType="application/vnd.openxmlformats-officedocument.spreadsheetml.worksheet+xml"/>
  <Override PartName="/xl/worksheets/sheet281.xml" ContentType="application/vnd.openxmlformats-officedocument.spreadsheetml.worksheet+xml"/>
  <Override PartName="/xl/worksheets/sheet282.xml" ContentType="application/vnd.openxmlformats-officedocument.spreadsheetml.worksheet+xml"/>
  <Override PartName="/xl/worksheets/sheet283.xml" ContentType="application/vnd.openxmlformats-officedocument.spreadsheetml.worksheet+xml"/>
  <Override PartName="/xl/worksheets/sheet284.xml" ContentType="application/vnd.openxmlformats-officedocument.spreadsheetml.worksheet+xml"/>
  <Override PartName="/xl/worksheets/sheet285.xml" ContentType="application/vnd.openxmlformats-officedocument.spreadsheetml.worksheet+xml"/>
  <Override PartName="/xl/worksheets/sheet286.xml" ContentType="application/vnd.openxmlformats-officedocument.spreadsheetml.worksheet+xml"/>
  <Override PartName="/xl/worksheets/sheet287.xml" ContentType="application/vnd.openxmlformats-officedocument.spreadsheetml.worksheet+xml"/>
  <Override PartName="/xl/worksheets/sheet288.xml" ContentType="application/vnd.openxmlformats-officedocument.spreadsheetml.worksheet+xml"/>
  <Override PartName="/xl/worksheets/sheet289.xml" ContentType="application/vnd.openxmlformats-officedocument.spreadsheetml.worksheet+xml"/>
  <Override PartName="/xl/worksheets/sheet290.xml" ContentType="application/vnd.openxmlformats-officedocument.spreadsheetml.worksheet+xml"/>
  <Override PartName="/xl/worksheets/sheet291.xml" ContentType="application/vnd.openxmlformats-officedocument.spreadsheetml.worksheet+xml"/>
  <Override PartName="/xl/worksheets/sheet292.xml" ContentType="application/vnd.openxmlformats-officedocument.spreadsheetml.worksheet+xml"/>
  <Override PartName="/xl/worksheets/sheet293.xml" ContentType="application/vnd.openxmlformats-officedocument.spreadsheetml.worksheet+xml"/>
  <Override PartName="/xl/worksheets/sheet294.xml" ContentType="application/vnd.openxmlformats-officedocument.spreadsheetml.worksheet+xml"/>
  <Override PartName="/xl/worksheets/sheet295.xml" ContentType="application/vnd.openxmlformats-officedocument.spreadsheetml.worksheet+xml"/>
  <Override PartName="/xl/worksheets/sheet296.xml" ContentType="application/vnd.openxmlformats-officedocument.spreadsheetml.worksheet+xml"/>
  <Override PartName="/xl/worksheets/sheet297.xml" ContentType="application/vnd.openxmlformats-officedocument.spreadsheetml.worksheet+xml"/>
  <Override PartName="/xl/worksheets/sheet298.xml" ContentType="application/vnd.openxmlformats-officedocument.spreadsheetml.worksheet+xml"/>
  <Override PartName="/xl/worksheets/sheet299.xml" ContentType="application/vnd.openxmlformats-officedocument.spreadsheetml.worksheet+xml"/>
  <Override PartName="/xl/worksheets/sheet300.xml" ContentType="application/vnd.openxmlformats-officedocument.spreadsheetml.worksheet+xml"/>
  <Override PartName="/xl/worksheets/sheet301.xml" ContentType="application/vnd.openxmlformats-officedocument.spreadsheetml.worksheet+xml"/>
  <Override PartName="/xl/worksheets/sheet302.xml" ContentType="application/vnd.openxmlformats-officedocument.spreadsheetml.worksheet+xml"/>
  <Override PartName="/xl/worksheets/sheet303.xml" ContentType="application/vnd.openxmlformats-officedocument.spreadsheetml.worksheet+xml"/>
  <Override PartName="/xl/worksheets/sheet304.xml" ContentType="application/vnd.openxmlformats-officedocument.spreadsheetml.worksheet+xml"/>
  <Override PartName="/xl/worksheets/sheet305.xml" ContentType="application/vnd.openxmlformats-officedocument.spreadsheetml.worksheet+xml"/>
  <Override PartName="/xl/worksheets/sheet306.xml" ContentType="application/vnd.openxmlformats-officedocument.spreadsheetml.worksheet+xml"/>
  <Override PartName="/xl/worksheets/sheet307.xml" ContentType="application/vnd.openxmlformats-officedocument.spreadsheetml.worksheet+xml"/>
  <Override PartName="/xl/worksheets/sheet308.xml" ContentType="application/vnd.openxmlformats-officedocument.spreadsheetml.worksheet+xml"/>
  <Override PartName="/xl/worksheets/sheet309.xml" ContentType="application/vnd.openxmlformats-officedocument.spreadsheetml.worksheet+xml"/>
  <Override PartName="/xl/worksheets/sheet310.xml" ContentType="application/vnd.openxmlformats-officedocument.spreadsheetml.worksheet+xml"/>
  <Override PartName="/xl/worksheets/sheet311.xml" ContentType="application/vnd.openxmlformats-officedocument.spreadsheetml.worksheet+xml"/>
  <Override PartName="/xl/worksheets/sheet312.xml" ContentType="application/vnd.openxmlformats-officedocument.spreadsheetml.worksheet+xml"/>
  <Override PartName="/xl/worksheets/sheet313.xml" ContentType="application/vnd.openxmlformats-officedocument.spreadsheetml.worksheet+xml"/>
  <Override PartName="/xl/worksheets/sheet314.xml" ContentType="application/vnd.openxmlformats-officedocument.spreadsheetml.worksheet+xml"/>
  <Override PartName="/xl/worksheets/sheet315.xml" ContentType="application/vnd.openxmlformats-officedocument.spreadsheetml.worksheet+xml"/>
  <Override PartName="/xl/worksheets/sheet316.xml" ContentType="application/vnd.openxmlformats-officedocument.spreadsheetml.worksheet+xml"/>
  <Override PartName="/xl/worksheets/sheet317.xml" ContentType="application/vnd.openxmlformats-officedocument.spreadsheetml.worksheet+xml"/>
  <Override PartName="/xl/worksheets/sheet318.xml" ContentType="application/vnd.openxmlformats-officedocument.spreadsheetml.worksheet+xml"/>
  <Override PartName="/xl/worksheets/sheet319.xml" ContentType="application/vnd.openxmlformats-officedocument.spreadsheetml.worksheet+xml"/>
  <Override PartName="/xl/worksheets/sheet320.xml" ContentType="application/vnd.openxmlformats-officedocument.spreadsheetml.worksheet+xml"/>
  <Override PartName="/xl/worksheets/sheet321.xml" ContentType="application/vnd.openxmlformats-officedocument.spreadsheetml.worksheet+xml"/>
  <Override PartName="/xl/worksheets/sheet322.xml" ContentType="application/vnd.openxmlformats-officedocument.spreadsheetml.worksheet+xml"/>
  <Override PartName="/xl/worksheets/sheet323.xml" ContentType="application/vnd.openxmlformats-officedocument.spreadsheetml.worksheet+xml"/>
  <Override PartName="/xl/worksheets/sheet324.xml" ContentType="application/vnd.openxmlformats-officedocument.spreadsheetml.worksheet+xml"/>
  <Override PartName="/xl/worksheets/sheet325.xml" ContentType="application/vnd.openxmlformats-officedocument.spreadsheetml.worksheet+xml"/>
  <Override PartName="/xl/worksheets/sheet326.xml" ContentType="application/vnd.openxmlformats-officedocument.spreadsheetml.worksheet+xml"/>
  <Override PartName="/xl/worksheets/sheet327.xml" ContentType="application/vnd.openxmlformats-officedocument.spreadsheetml.worksheet+xml"/>
  <Override PartName="/xl/worksheets/sheet328.xml" ContentType="application/vnd.openxmlformats-officedocument.spreadsheetml.worksheet+xml"/>
  <Override PartName="/xl/worksheets/sheet329.xml" ContentType="application/vnd.openxmlformats-officedocument.spreadsheetml.worksheet+xml"/>
  <Override PartName="/xl/worksheets/sheet330.xml" ContentType="application/vnd.openxmlformats-officedocument.spreadsheetml.worksheet+xml"/>
  <Override PartName="/xl/worksheets/sheet331.xml" ContentType="application/vnd.openxmlformats-officedocument.spreadsheetml.worksheet+xml"/>
  <Override PartName="/xl/worksheets/sheet332.xml" ContentType="application/vnd.openxmlformats-officedocument.spreadsheetml.worksheet+xml"/>
  <Override PartName="/xl/worksheets/sheet333.xml" ContentType="application/vnd.openxmlformats-officedocument.spreadsheetml.worksheet+xml"/>
  <Override PartName="/xl/worksheets/sheet334.xml" ContentType="application/vnd.openxmlformats-officedocument.spreadsheetml.worksheet+xml"/>
  <Override PartName="/xl/worksheets/sheet335.xml" ContentType="application/vnd.openxmlformats-officedocument.spreadsheetml.worksheet+xml"/>
  <Override PartName="/xl/worksheets/sheet336.xml" ContentType="application/vnd.openxmlformats-officedocument.spreadsheetml.worksheet+xml"/>
  <Override PartName="/xl/worksheets/sheet337.xml" ContentType="application/vnd.openxmlformats-officedocument.spreadsheetml.worksheet+xml"/>
  <Override PartName="/xl/worksheets/sheet338.xml" ContentType="application/vnd.openxmlformats-officedocument.spreadsheetml.worksheet+xml"/>
  <Override PartName="/xl/worksheets/sheet339.xml" ContentType="application/vnd.openxmlformats-officedocument.spreadsheetml.worksheet+xml"/>
  <Override PartName="/xl/worksheets/sheet340.xml" ContentType="application/vnd.openxmlformats-officedocument.spreadsheetml.worksheet+xml"/>
  <Override PartName="/xl/worksheets/sheet341.xml" ContentType="application/vnd.openxmlformats-officedocument.spreadsheetml.worksheet+xml"/>
  <Override PartName="/xl/worksheets/sheet342.xml" ContentType="application/vnd.openxmlformats-officedocument.spreadsheetml.worksheet+xml"/>
  <Override PartName="/xl/worksheets/sheet343.xml" ContentType="application/vnd.openxmlformats-officedocument.spreadsheetml.worksheet+xml"/>
  <Override PartName="/xl/worksheets/sheet344.xml" ContentType="application/vnd.openxmlformats-officedocument.spreadsheetml.worksheet+xml"/>
  <Override PartName="/xl/worksheets/sheet345.xml" ContentType="application/vnd.openxmlformats-officedocument.spreadsheetml.worksheet+xml"/>
  <Override PartName="/xl/worksheets/sheet346.xml" ContentType="application/vnd.openxmlformats-officedocument.spreadsheetml.worksheet+xml"/>
  <Override PartName="/xl/worksheets/sheet347.xml" ContentType="application/vnd.openxmlformats-officedocument.spreadsheetml.worksheet+xml"/>
  <Override PartName="/xl/worksheets/sheet348.xml" ContentType="application/vnd.openxmlformats-officedocument.spreadsheetml.worksheet+xml"/>
  <Override PartName="/xl/worksheets/sheet349.xml" ContentType="application/vnd.openxmlformats-officedocument.spreadsheetml.worksheet+xml"/>
  <Override PartName="/xl/worksheets/sheet350.xml" ContentType="application/vnd.openxmlformats-officedocument.spreadsheetml.worksheet+xml"/>
  <Override PartName="/xl/worksheets/sheet351.xml" ContentType="application/vnd.openxmlformats-officedocument.spreadsheetml.worksheet+xml"/>
  <Override PartName="/xl/worksheets/sheet352.xml" ContentType="application/vnd.openxmlformats-officedocument.spreadsheetml.worksheet+xml"/>
  <Override PartName="/xl/worksheets/sheet353.xml" ContentType="application/vnd.openxmlformats-officedocument.spreadsheetml.worksheet+xml"/>
  <Override PartName="/xl/worksheets/sheet354.xml" ContentType="application/vnd.openxmlformats-officedocument.spreadsheetml.worksheet+xml"/>
  <Override PartName="/xl/worksheets/sheet355.xml" ContentType="application/vnd.openxmlformats-officedocument.spreadsheetml.worksheet+xml"/>
  <Override PartName="/xl/worksheets/sheet356.xml" ContentType="application/vnd.openxmlformats-officedocument.spreadsheetml.worksheet+xml"/>
  <Override PartName="/xl/worksheets/sheet357.xml" ContentType="application/vnd.openxmlformats-officedocument.spreadsheetml.worksheet+xml"/>
  <Override PartName="/xl/worksheets/sheet358.xml" ContentType="application/vnd.openxmlformats-officedocument.spreadsheetml.worksheet+xml"/>
  <Override PartName="/xl/worksheets/sheet359.xml" ContentType="application/vnd.openxmlformats-officedocument.spreadsheetml.worksheet+xml"/>
  <Override PartName="/xl/worksheets/sheet360.xml" ContentType="application/vnd.openxmlformats-officedocument.spreadsheetml.worksheet+xml"/>
  <Override PartName="/xl/worksheets/sheet361.xml" ContentType="application/vnd.openxmlformats-officedocument.spreadsheetml.worksheet+xml"/>
  <Override PartName="/xl/worksheets/sheet362.xml" ContentType="application/vnd.openxmlformats-officedocument.spreadsheetml.worksheet+xml"/>
  <Override PartName="/xl/worksheets/sheet363.xml" ContentType="application/vnd.openxmlformats-officedocument.spreadsheetml.worksheet+xml"/>
  <Override PartName="/xl/worksheets/sheet364.xml" ContentType="application/vnd.openxmlformats-officedocument.spreadsheetml.worksheet+xml"/>
  <Override PartName="/xl/worksheets/sheet365.xml" ContentType="application/vnd.openxmlformats-officedocument.spreadsheetml.worksheet+xml"/>
  <Override PartName="/xl/worksheets/sheet366.xml" ContentType="application/vnd.openxmlformats-officedocument.spreadsheetml.worksheet+xml"/>
  <Override PartName="/xl/worksheets/sheet367.xml" ContentType="application/vnd.openxmlformats-officedocument.spreadsheetml.worksheet+xml"/>
  <Override PartName="/xl/worksheets/sheet368.xml" ContentType="application/vnd.openxmlformats-officedocument.spreadsheetml.worksheet+xml"/>
  <Override PartName="/xl/worksheets/sheet369.xml" ContentType="application/vnd.openxmlformats-officedocument.spreadsheetml.worksheet+xml"/>
  <Override PartName="/xl/worksheets/sheet370.xml" ContentType="application/vnd.openxmlformats-officedocument.spreadsheetml.worksheet+xml"/>
  <Override PartName="/xl/worksheets/sheet371.xml" ContentType="application/vnd.openxmlformats-officedocument.spreadsheetml.worksheet+xml"/>
  <Override PartName="/xl/worksheets/sheet372.xml" ContentType="application/vnd.openxmlformats-officedocument.spreadsheetml.worksheet+xml"/>
  <Override PartName="/xl/worksheets/sheet373.xml" ContentType="application/vnd.openxmlformats-officedocument.spreadsheetml.worksheet+xml"/>
  <Override PartName="/xl/worksheets/sheet374.xml" ContentType="application/vnd.openxmlformats-officedocument.spreadsheetml.worksheet+xml"/>
  <Override PartName="/xl/worksheets/sheet375.xml" ContentType="application/vnd.openxmlformats-officedocument.spreadsheetml.worksheet+xml"/>
  <Override PartName="/xl/worksheets/sheet376.xml" ContentType="application/vnd.openxmlformats-officedocument.spreadsheetml.worksheet+xml"/>
  <Override PartName="/xl/worksheets/sheet377.xml" ContentType="application/vnd.openxmlformats-officedocument.spreadsheetml.worksheet+xml"/>
  <Override PartName="/xl/worksheets/sheet378.xml" ContentType="application/vnd.openxmlformats-officedocument.spreadsheetml.worksheet+xml"/>
  <Override PartName="/xl/worksheets/sheet379.xml" ContentType="application/vnd.openxmlformats-officedocument.spreadsheetml.worksheet+xml"/>
  <Override PartName="/xl/worksheets/sheet380.xml" ContentType="application/vnd.openxmlformats-officedocument.spreadsheetml.worksheet+xml"/>
  <Override PartName="/xl/worksheets/sheet381.xml" ContentType="application/vnd.openxmlformats-officedocument.spreadsheetml.worksheet+xml"/>
  <Override PartName="/xl/worksheets/sheet382.xml" ContentType="application/vnd.openxmlformats-officedocument.spreadsheetml.worksheet+xml"/>
  <Override PartName="/xl/worksheets/sheet383.xml" ContentType="application/vnd.openxmlformats-officedocument.spreadsheetml.worksheet+xml"/>
  <Override PartName="/xl/worksheets/sheet384.xml" ContentType="application/vnd.openxmlformats-officedocument.spreadsheetml.worksheet+xml"/>
  <Override PartName="/xl/worksheets/sheet385.xml" ContentType="application/vnd.openxmlformats-officedocument.spreadsheetml.worksheet+xml"/>
  <Override PartName="/xl/worksheets/sheet386.xml" ContentType="application/vnd.openxmlformats-officedocument.spreadsheetml.worksheet+xml"/>
  <Override PartName="/xl/worksheets/sheet387.xml" ContentType="application/vnd.openxmlformats-officedocument.spreadsheetml.worksheet+xml"/>
  <Override PartName="/xl/worksheets/sheet388.xml" ContentType="application/vnd.openxmlformats-officedocument.spreadsheetml.worksheet+xml"/>
  <Override PartName="/xl/worksheets/sheet389.xml" ContentType="application/vnd.openxmlformats-officedocument.spreadsheetml.worksheet+xml"/>
  <Override PartName="/xl/worksheets/sheet390.xml" ContentType="application/vnd.openxmlformats-officedocument.spreadsheetml.worksheet+xml"/>
  <Override PartName="/xl/worksheets/sheet391.xml" ContentType="application/vnd.openxmlformats-officedocument.spreadsheetml.worksheet+xml"/>
  <Override PartName="/xl/worksheets/sheet392.xml" ContentType="application/vnd.openxmlformats-officedocument.spreadsheetml.worksheet+xml"/>
  <Override PartName="/xl/worksheets/sheet393.xml" ContentType="application/vnd.openxmlformats-officedocument.spreadsheetml.worksheet+xml"/>
  <Override PartName="/xl/worksheets/sheet394.xml" ContentType="application/vnd.openxmlformats-officedocument.spreadsheetml.worksheet+xml"/>
  <Override PartName="/xl/worksheets/sheet395.xml" ContentType="application/vnd.openxmlformats-officedocument.spreadsheetml.worksheet+xml"/>
  <Override PartName="/xl/worksheets/sheet396.xml" ContentType="application/vnd.openxmlformats-officedocument.spreadsheetml.worksheet+xml"/>
  <Override PartName="/xl/worksheets/sheet397.xml" ContentType="application/vnd.openxmlformats-officedocument.spreadsheetml.worksheet+xml"/>
  <Override PartName="/xl/worksheets/sheet398.xml" ContentType="application/vnd.openxmlformats-officedocument.spreadsheetml.worksheet+xml"/>
  <Override PartName="/xl/worksheets/sheet399.xml" ContentType="application/vnd.openxmlformats-officedocument.spreadsheetml.worksheet+xml"/>
  <Override PartName="/xl/worksheets/sheet400.xml" ContentType="application/vnd.openxmlformats-officedocument.spreadsheetml.worksheet+xml"/>
  <Override PartName="/xl/worksheets/sheet401.xml" ContentType="application/vnd.openxmlformats-officedocument.spreadsheetml.worksheet+xml"/>
  <Override PartName="/xl/worksheets/sheet402.xml" ContentType="application/vnd.openxmlformats-officedocument.spreadsheetml.worksheet+xml"/>
  <Override PartName="/xl/worksheets/sheet403.xml" ContentType="application/vnd.openxmlformats-officedocument.spreadsheetml.worksheet+xml"/>
  <Override PartName="/xl/worksheets/sheet40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Antoine\Desktop\Cost report\"/>
    </mc:Choice>
  </mc:AlternateContent>
  <bookViews>
    <workbookView xWindow="-12" yWindow="-12" windowWidth="11532" windowHeight="9684"/>
  </bookViews>
  <sheets>
    <sheet name="Cover" sheetId="1" r:id="rId1"/>
    <sheet name="Summary" sheetId="2" r:id="rId2"/>
    <sheet name="BOM" sheetId="3" r:id="rId3"/>
    <sheet name="Brake System" sheetId="4" r:id="rId4"/>
    <sheet name="BR A0001" sheetId="7" r:id="rId5"/>
    <sheet name="BR 01001" sheetId="8" r:id="rId6"/>
    <sheet name="BR 01002" sheetId="9" r:id="rId7"/>
    <sheet name="BR 01003" sheetId="10" r:id="rId8"/>
    <sheet name="BR 01004" sheetId="11" r:id="rId9"/>
    <sheet name="BR 01005" sheetId="12" r:id="rId10"/>
    <sheet name="BR A0002" sheetId="13" r:id="rId11"/>
    <sheet name="BR 02001" sheetId="14" r:id="rId12"/>
    <sheet name="BR 02002" sheetId="15" r:id="rId13"/>
    <sheet name="BR 02003" sheetId="16" r:id="rId14"/>
    <sheet name="BR 02004" sheetId="17" r:id="rId15"/>
    <sheet name="BR 02005" sheetId="18" r:id="rId16"/>
    <sheet name="BR A0003" sheetId="19" r:id="rId17"/>
    <sheet name="BR 03001" sheetId="20" r:id="rId18"/>
    <sheet name="BR 03002" sheetId="21" r:id="rId19"/>
    <sheet name="BR 03003" sheetId="23" r:id="rId20"/>
    <sheet name="BR 03004" sheetId="24" r:id="rId21"/>
    <sheet name="BR 03005" sheetId="25" r:id="rId22"/>
    <sheet name="BR 03006" sheetId="26" r:id="rId23"/>
    <sheet name="BR 03007" sheetId="22" r:id="rId24"/>
    <sheet name="Engine and Drivetrain" sheetId="27" r:id="rId25"/>
    <sheet name="EN A0001" sheetId="28" r:id="rId26"/>
    <sheet name="EN 01001" sheetId="29" r:id="rId27"/>
    <sheet name="EN 01002" sheetId="30" r:id="rId28"/>
    <sheet name="EN 01003" sheetId="32" r:id="rId29"/>
    <sheet name="EN 01004" sheetId="34" r:id="rId30"/>
    <sheet name="EN 01005" sheetId="36" r:id="rId31"/>
    <sheet name="EN 01006" sheetId="38" r:id="rId32"/>
    <sheet name="EN 01007" sheetId="40" r:id="rId33"/>
    <sheet name="EN 01008" sheetId="42" r:id="rId34"/>
    <sheet name="EN 01009" sheetId="43" r:id="rId35"/>
    <sheet name="EN A0002" sheetId="47" r:id="rId36"/>
    <sheet name="EN 02001" sheetId="48" r:id="rId37"/>
    <sheet name="EN 02002" sheetId="50" r:id="rId38"/>
    <sheet name="EN 02003" sheetId="52" r:id="rId39"/>
    <sheet name="EN 02004" sheetId="53" r:id="rId40"/>
    <sheet name="EN 02005" sheetId="54" r:id="rId41"/>
    <sheet name="EN 02006" sheetId="55" r:id="rId42"/>
    <sheet name="EN 02007" sheetId="56" r:id="rId43"/>
    <sheet name="EN 02008" sheetId="57" r:id="rId44"/>
    <sheet name="EN 02009" sheetId="58" r:id="rId45"/>
    <sheet name="EN A0003" sheetId="59" r:id="rId46"/>
    <sheet name="EN 03001" sheetId="60" r:id="rId47"/>
    <sheet name="EN 03002" sheetId="62" r:id="rId48"/>
    <sheet name="EN 03003" sheetId="63" r:id="rId49"/>
    <sheet name="EN 03004" sheetId="64" r:id="rId50"/>
    <sheet name="EN 03005" sheetId="66" r:id="rId51"/>
    <sheet name="EN 03006" sheetId="68" r:id="rId52"/>
    <sheet name="EN 03007" sheetId="69" r:id="rId53"/>
    <sheet name="EN 03008" sheetId="70" r:id="rId54"/>
    <sheet name="EN A0004" sheetId="72" r:id="rId55"/>
    <sheet name="EN 04001" sheetId="73" r:id="rId56"/>
    <sheet name="EN 04002" sheetId="74" r:id="rId57"/>
    <sheet name="EN 04003" sheetId="75" r:id="rId58"/>
    <sheet name="EN 04004" sheetId="76" r:id="rId59"/>
    <sheet name="EN 04005" sheetId="77" r:id="rId60"/>
    <sheet name="EN A0005" sheetId="78" r:id="rId61"/>
    <sheet name="EN 05001" sheetId="79" r:id="rId62"/>
    <sheet name="EN 05002" sheetId="80" r:id="rId63"/>
    <sheet name="EN 05003" sheetId="81" r:id="rId64"/>
    <sheet name="EN 05004" sheetId="82" r:id="rId65"/>
    <sheet name="EN 05005" sheetId="83" r:id="rId66"/>
    <sheet name="EN 05006" sheetId="84" r:id="rId67"/>
    <sheet name="EN 05007" sheetId="86" r:id="rId68"/>
    <sheet name="EN 05008" sheetId="88" r:id="rId69"/>
    <sheet name="EN 05009" sheetId="89" r:id="rId70"/>
    <sheet name="EN 05010" sheetId="90" r:id="rId71"/>
    <sheet name="EN A0006" sheetId="92" r:id="rId72"/>
    <sheet name="EN 06001" sheetId="93" r:id="rId73"/>
    <sheet name="EN 06002" sheetId="94" r:id="rId74"/>
    <sheet name="EN 06003" sheetId="95" r:id="rId75"/>
    <sheet name="EN 06004" sheetId="96" r:id="rId76"/>
    <sheet name="EN 06005" sheetId="97" r:id="rId77"/>
    <sheet name="EN 06006" sheetId="98" r:id="rId78"/>
    <sheet name="EN 06007" sheetId="99" r:id="rId79"/>
    <sheet name="EN 06008" sheetId="100" r:id="rId80"/>
    <sheet name="EN 06009" sheetId="101" r:id="rId81"/>
    <sheet name="EN 06010" sheetId="102" r:id="rId82"/>
    <sheet name="EN 06011" sheetId="103" r:id="rId83"/>
    <sheet name="EN 06012" sheetId="104" r:id="rId84"/>
    <sheet name="EN 06013" sheetId="105" r:id="rId85"/>
    <sheet name="EN A0007" sheetId="106" r:id="rId86"/>
    <sheet name="EN 07001" sheetId="107" r:id="rId87"/>
    <sheet name="EN 07002" sheetId="108" r:id="rId88"/>
    <sheet name="EN A0008" sheetId="109" r:id="rId89"/>
    <sheet name="EN 08001" sheetId="110" r:id="rId90"/>
    <sheet name="EN 08002" sheetId="111" r:id="rId91"/>
    <sheet name="EN 08003" sheetId="112" r:id="rId92"/>
    <sheet name="EN 08004" sheetId="113" r:id="rId93"/>
    <sheet name="EN 08005" sheetId="114" r:id="rId94"/>
    <sheet name="EN 08006" sheetId="115" r:id="rId95"/>
    <sheet name="EN 08007" sheetId="116" r:id="rId96"/>
    <sheet name="EN 08008" sheetId="117" r:id="rId97"/>
    <sheet name="EN A0009" sheetId="118" r:id="rId98"/>
    <sheet name="EN 09001" sheetId="119" r:id="rId99"/>
    <sheet name="EN 09002" sheetId="120" r:id="rId100"/>
    <sheet name="EN 09003" sheetId="121" r:id="rId101"/>
    <sheet name="EN 09004" sheetId="123" r:id="rId102"/>
    <sheet name="EN 09005" sheetId="125" r:id="rId103"/>
    <sheet name="EN A0010" sheetId="127" r:id="rId104"/>
    <sheet name="EN 10001" sheetId="128" r:id="rId105"/>
    <sheet name="EN 10002" sheetId="129" r:id="rId106"/>
    <sheet name="EN 10003" sheetId="130" r:id="rId107"/>
    <sheet name="EN 10004" sheetId="131" r:id="rId108"/>
    <sheet name="EN A0011" sheetId="132" r:id="rId109"/>
    <sheet name="EN 11001" sheetId="133" r:id="rId110"/>
    <sheet name="EN 11002" sheetId="135" r:id="rId111"/>
    <sheet name="EN 11003" sheetId="136" r:id="rId112"/>
    <sheet name="EN A0012" sheetId="137" r:id="rId113"/>
    <sheet name="EN 12001" sheetId="138" r:id="rId114"/>
    <sheet name="EN 12002" sheetId="139" r:id="rId115"/>
    <sheet name="EN 12003" sheetId="140" r:id="rId116"/>
    <sheet name="EN 12004" sheetId="142" r:id="rId117"/>
    <sheet name="EN 12005" sheetId="143" r:id="rId118"/>
    <sheet name="EN 12006" sheetId="145" r:id="rId119"/>
    <sheet name="Frame and Body" sheetId="242" r:id="rId120"/>
    <sheet name="FR A0001" sheetId="147" r:id="rId121"/>
    <sheet name="FR 01001" sheetId="148" r:id="rId122"/>
    <sheet name="FR 01002" sheetId="149" r:id="rId123"/>
    <sheet name="FR 01003" sheetId="150" r:id="rId124"/>
    <sheet name="FR A0002" sheetId="152" r:id="rId125"/>
    <sheet name="FR 02001" sheetId="153" r:id="rId126"/>
    <sheet name="FR 02002" sheetId="155" r:id="rId127"/>
    <sheet name="FR A0003" sheetId="157" r:id="rId128"/>
    <sheet name="FR 03001" sheetId="158" r:id="rId129"/>
    <sheet name="FR 03002" sheetId="159" r:id="rId130"/>
    <sheet name="FR 03003" sheetId="160" r:id="rId131"/>
    <sheet name="FR 03004" sheetId="161" r:id="rId132"/>
    <sheet name="FR 03005" sheetId="162" r:id="rId133"/>
    <sheet name="FR 03006" sheetId="163" r:id="rId134"/>
    <sheet name="FR 03007" sheetId="164" r:id="rId135"/>
    <sheet name="FR A0004" sheetId="165" r:id="rId136"/>
    <sheet name="FR 04001" sheetId="166" r:id="rId137"/>
    <sheet name="FR 04002" sheetId="186" r:id="rId138"/>
    <sheet name="FR 04003" sheetId="172" r:id="rId139"/>
    <sheet name="FR 04004" sheetId="169" r:id="rId140"/>
    <sheet name="FR 04005" sheetId="170" r:id="rId141"/>
    <sheet name="FR 04006" sheetId="183" r:id="rId142"/>
    <sheet name="FR 04007" sheetId="173" r:id="rId143"/>
    <sheet name="FR 04008" sheetId="167" r:id="rId144"/>
    <sheet name="FR 04009" sheetId="168" r:id="rId145"/>
    <sheet name="FR 04010" sheetId="182" r:id="rId146"/>
    <sheet name="FR 04011" sheetId="174" r:id="rId147"/>
    <sheet name="FR 04012" sheetId="171" r:id="rId148"/>
    <sheet name="FR 04013" sheetId="185" r:id="rId149"/>
    <sheet name="FR 04014" sheetId="179" r:id="rId150"/>
    <sheet name="FR 04015" sheetId="175" r:id="rId151"/>
    <sheet name="FR 04016" sheetId="176" r:id="rId152"/>
    <sheet name="FR 04017" sheetId="178" r:id="rId153"/>
    <sheet name="FR 04018" sheetId="177" r:id="rId154"/>
    <sheet name="FR 04019" sheetId="180" r:id="rId155"/>
    <sheet name="FR 04020" sheetId="184" r:id="rId156"/>
    <sheet name="FR 04021" sheetId="181" r:id="rId157"/>
    <sheet name="FR 04022" sheetId="187" r:id="rId158"/>
    <sheet name="FR A0005" sheetId="193" r:id="rId159"/>
    <sheet name="FR 05001" sheetId="194" r:id="rId160"/>
    <sheet name="FR 05002" sheetId="195" r:id="rId161"/>
    <sheet name="FR 05003" sheetId="196" r:id="rId162"/>
    <sheet name="FR 05004" sheetId="197" r:id="rId163"/>
    <sheet name="FR 05005" sheetId="198" r:id="rId164"/>
    <sheet name="FR 05006" sheetId="199" r:id="rId165"/>
    <sheet name="FR 05007" sheetId="200" r:id="rId166"/>
    <sheet name="FR 05008" sheetId="201" r:id="rId167"/>
    <sheet name="FR A0006" sheetId="202" r:id="rId168"/>
    <sheet name="FR 06001" sheetId="203" r:id="rId169"/>
    <sheet name="FR 06002" sheetId="204" r:id="rId170"/>
    <sheet name="FR 06003" sheetId="205" r:id="rId171"/>
    <sheet name="FR A0007" sheetId="206" r:id="rId172"/>
    <sheet name="FR 07001" sheetId="207" r:id="rId173"/>
    <sheet name="FR 07002" sheetId="208" r:id="rId174"/>
    <sheet name="FR 07003" sheetId="210" r:id="rId175"/>
    <sheet name="FR 07004" sheetId="212" r:id="rId176"/>
    <sheet name="FR 07005" sheetId="214" r:id="rId177"/>
    <sheet name="FR 07006" sheetId="216" r:id="rId178"/>
    <sheet name="FR 07007" sheetId="218" r:id="rId179"/>
    <sheet name="FR 07008" sheetId="220" r:id="rId180"/>
    <sheet name="FR A0008" sheetId="222" r:id="rId181"/>
    <sheet name="FR 08001" sheetId="223" r:id="rId182"/>
    <sheet name="FR 08002" sheetId="224" r:id="rId183"/>
    <sheet name="FR 08003" sheetId="225" r:id="rId184"/>
    <sheet name="FR 08004" sheetId="226" r:id="rId185"/>
    <sheet name="FR 08005" sheetId="227" r:id="rId186"/>
    <sheet name="FR 08006" sheetId="228" r:id="rId187"/>
    <sheet name="FR 08007" sheetId="229" r:id="rId188"/>
    <sheet name="FR 08008" sheetId="230" r:id="rId189"/>
    <sheet name="FR 08009" sheetId="231" r:id="rId190"/>
    <sheet name="FR 08010" sheetId="232" r:id="rId191"/>
    <sheet name="FR 08011" sheetId="233" r:id="rId192"/>
    <sheet name="FR 08012" sheetId="234" r:id="rId193"/>
    <sheet name="FR 08013" sheetId="235" r:id="rId194"/>
    <sheet name="FR 08014" sheetId="236" r:id="rId195"/>
    <sheet name="FR 08015" sheetId="237" r:id="rId196"/>
    <sheet name="FR 08016" sheetId="238" r:id="rId197"/>
    <sheet name="FR 08017" sheetId="239" r:id="rId198"/>
    <sheet name="FR 08018" sheetId="240" r:id="rId199"/>
    <sheet name="FR 08019" sheetId="241" r:id="rId200"/>
    <sheet name="Electrical System" sheetId="244" r:id="rId201"/>
    <sheet name="EL A0001" sheetId="245" r:id="rId202"/>
    <sheet name="EL 01001" sheetId="246" r:id="rId203"/>
    <sheet name="EL 01002" sheetId="247" r:id="rId204"/>
    <sheet name="EL 01003" sheetId="248" r:id="rId205"/>
    <sheet name="EL A0002" sheetId="249" r:id="rId206"/>
    <sheet name="EL 02001" sheetId="250" r:id="rId207"/>
    <sheet name="EL 02002" sheetId="252" r:id="rId208"/>
    <sheet name="EL 02003" sheetId="251" r:id="rId209"/>
    <sheet name="EL 02004" sheetId="253" r:id="rId210"/>
    <sheet name="EL 02005" sheetId="254" r:id="rId211"/>
    <sheet name="EL A0003" sheetId="255" r:id="rId212"/>
    <sheet name="EL 03001" sheetId="256" r:id="rId213"/>
    <sheet name="EL 03002" sheetId="257" r:id="rId214"/>
    <sheet name="EL A0004" sheetId="259" r:id="rId215"/>
    <sheet name="EL 04001" sheetId="260" r:id="rId216"/>
    <sheet name="EL 04002" sheetId="261" r:id="rId217"/>
    <sheet name="EL 04003" sheetId="262" r:id="rId218"/>
    <sheet name="Miscellaneous Fit and Finish" sheetId="263" r:id="rId219"/>
    <sheet name="MS A0001" sheetId="264" r:id="rId220"/>
    <sheet name="MS 01001" sheetId="265" r:id="rId221"/>
    <sheet name="MS 01002" sheetId="267" r:id="rId222"/>
    <sheet name="MS 01003" sheetId="268" r:id="rId223"/>
    <sheet name="MS 01004" sheetId="269" r:id="rId224"/>
    <sheet name="MS 01005" sheetId="270" r:id="rId225"/>
    <sheet name="MS 01006" sheetId="271" r:id="rId226"/>
    <sheet name="MS 01007" sheetId="272" r:id="rId227"/>
    <sheet name="MS 01008" sheetId="273" r:id="rId228"/>
    <sheet name="MS 01009" sheetId="274" r:id="rId229"/>
    <sheet name="MS 01010" sheetId="275" r:id="rId230"/>
    <sheet name="MS 01011" sheetId="276" r:id="rId231"/>
    <sheet name="MS 01012" sheetId="277" r:id="rId232"/>
    <sheet name="MS 01013" sheetId="278" r:id="rId233"/>
    <sheet name="MS 01014" sheetId="279" r:id="rId234"/>
    <sheet name="MS 01015" sheetId="280" r:id="rId235"/>
    <sheet name="MS A0002" sheetId="283" r:id="rId236"/>
    <sheet name="MS 02001" sheetId="284" r:id="rId237"/>
    <sheet name="MS A0003" sheetId="285" r:id="rId238"/>
    <sheet name="MS 03001" sheetId="286" r:id="rId239"/>
    <sheet name="MS 03002" sheetId="287" r:id="rId240"/>
    <sheet name="MS 03003" sheetId="288" r:id="rId241"/>
    <sheet name="MS 03004" sheetId="289" r:id="rId242"/>
    <sheet name="MS 03005" sheetId="290" r:id="rId243"/>
    <sheet name="MS A0004" sheetId="291" r:id="rId244"/>
    <sheet name="MS 04001" sheetId="292" r:id="rId245"/>
    <sheet name="MS A0005" sheetId="293" r:id="rId246"/>
    <sheet name="MS 05001" sheetId="294" r:id="rId247"/>
    <sheet name="MS 05002" sheetId="295" r:id="rId248"/>
    <sheet name="MS 05003" sheetId="296" r:id="rId249"/>
    <sheet name="MS 05004" sheetId="297" r:id="rId250"/>
    <sheet name="MS 05005" sheetId="298" r:id="rId251"/>
    <sheet name="MS 05006" sheetId="299" r:id="rId252"/>
    <sheet name="MS 05007" sheetId="300" r:id="rId253"/>
    <sheet name="Steering" sheetId="301" r:id="rId254"/>
    <sheet name="ST A0001" sheetId="302" r:id="rId255"/>
    <sheet name="ST 01001" sheetId="303" r:id="rId256"/>
    <sheet name="ST 01002" sheetId="304" r:id="rId257"/>
    <sheet name="ST 01003" sheetId="306" r:id="rId258"/>
    <sheet name="ST 01004" sheetId="307" r:id="rId259"/>
    <sheet name="ST 01005" sheetId="308" r:id="rId260"/>
    <sheet name="ST 01006" sheetId="312" r:id="rId261"/>
    <sheet name="ST 01007" sheetId="313" r:id="rId262"/>
    <sheet name="ST 01008" sheetId="314" r:id="rId263"/>
    <sheet name="ST 01009" sheetId="315" r:id="rId264"/>
    <sheet name="ST 01010" sheetId="310" r:id="rId265"/>
    <sheet name="ST A0002" sheetId="316" r:id="rId266"/>
    <sheet name="ST 02001" sheetId="317" r:id="rId267"/>
    <sheet name="ST 02002" sheetId="318" r:id="rId268"/>
    <sheet name="ST 02003" sheetId="319" r:id="rId269"/>
    <sheet name="ST A0003" sheetId="320" r:id="rId270"/>
    <sheet name="ST 03001" sheetId="321" r:id="rId271"/>
    <sheet name="ST 03002" sheetId="323" r:id="rId272"/>
    <sheet name="ST 03003" sheetId="324" r:id="rId273"/>
    <sheet name="ST 03004" sheetId="325" r:id="rId274"/>
    <sheet name="ST A0004" sheetId="326" r:id="rId275"/>
    <sheet name="ST 04001" sheetId="327" r:id="rId276"/>
    <sheet name="ST 04002" sheetId="328" r:id="rId277"/>
    <sheet name="ST 04003" sheetId="329" r:id="rId278"/>
    <sheet name="ST 04004" sheetId="330" r:id="rId279"/>
    <sheet name="ST 04005" sheetId="332" r:id="rId280"/>
    <sheet name="ST 04006" sheetId="335" r:id="rId281"/>
    <sheet name="ST 04007" sheetId="337" r:id="rId282"/>
    <sheet name="Suspensions" sheetId="338" r:id="rId283"/>
    <sheet name="SU A0001" sheetId="339" r:id="rId284"/>
    <sheet name="SU 01001" sheetId="340" r:id="rId285"/>
    <sheet name="SU 01002" sheetId="341" r:id="rId286"/>
    <sheet name="SU 01003" sheetId="342" r:id="rId287"/>
    <sheet name="SU 01004" sheetId="344" r:id="rId288"/>
    <sheet name="SU 01005" sheetId="346" r:id="rId289"/>
    <sheet name="SU A0002" sheetId="347" r:id="rId290"/>
    <sheet name="SU 02001" sheetId="348" r:id="rId291"/>
    <sheet name="SU 02002" sheetId="349" r:id="rId292"/>
    <sheet name="SU 02003" sheetId="350" r:id="rId293"/>
    <sheet name="SU 02004" sheetId="351" r:id="rId294"/>
    <sheet name="SU 02005" sheetId="353" r:id="rId295"/>
    <sheet name="SU A0003" sheetId="354" r:id="rId296"/>
    <sheet name="SU 03001" sheetId="355" r:id="rId297"/>
    <sheet name="SU 03002" sheetId="356" r:id="rId298"/>
    <sheet name="SU 03003" sheetId="357" r:id="rId299"/>
    <sheet name="SU 03004" sheetId="358" r:id="rId300"/>
    <sheet name="SU 03005" sheetId="359" r:id="rId301"/>
    <sheet name="SU 03006" sheetId="361" r:id="rId302"/>
    <sheet name="SU A0004" sheetId="362" r:id="rId303"/>
    <sheet name="SU 04001" sheetId="363" r:id="rId304"/>
    <sheet name="SU 04002" sheetId="364" r:id="rId305"/>
    <sheet name="SU 04003" sheetId="365" r:id="rId306"/>
    <sheet name="SU 04004" sheetId="366" r:id="rId307"/>
    <sheet name="SU 04005" sheetId="367" r:id="rId308"/>
    <sheet name="SU 04006" sheetId="368" r:id="rId309"/>
    <sheet name="SU 04007" sheetId="369" r:id="rId310"/>
    <sheet name="SU 04008" sheetId="370" r:id="rId311"/>
    <sheet name="SU A0005" sheetId="371" r:id="rId312"/>
    <sheet name="SU 05001" sheetId="372" r:id="rId313"/>
    <sheet name="SU 05002" sheetId="373" r:id="rId314"/>
    <sheet name="SU 05003" sheetId="374" r:id="rId315"/>
    <sheet name="SU A0006" sheetId="375" r:id="rId316"/>
    <sheet name="SU 06001" sheetId="376" r:id="rId317"/>
    <sheet name="SU 06002" sheetId="377" r:id="rId318"/>
    <sheet name="SU 06003" sheetId="378" r:id="rId319"/>
    <sheet name="SU 06004" sheetId="379" r:id="rId320"/>
    <sheet name="SU A0007" sheetId="380" r:id="rId321"/>
    <sheet name="SU 07001" sheetId="381" r:id="rId322"/>
    <sheet name="SU 07002" sheetId="382" r:id="rId323"/>
    <sheet name="SU 07003" sheetId="383" r:id="rId324"/>
    <sheet name="SU A0008" sheetId="384" r:id="rId325"/>
    <sheet name="SU 08001" sheetId="385" r:id="rId326"/>
    <sheet name="SU 08002" sheetId="386" r:id="rId327"/>
    <sheet name="SU 08003" sheetId="387" r:id="rId328"/>
    <sheet name="SU 08004" sheetId="388" r:id="rId329"/>
    <sheet name="SU A0009" sheetId="389" r:id="rId330"/>
    <sheet name="SU 09001" sheetId="390" r:id="rId331"/>
    <sheet name="SU 09002" sheetId="392" r:id="rId332"/>
    <sheet name="SU 09003" sheetId="393" r:id="rId333"/>
    <sheet name="SU 09004" sheetId="394" r:id="rId334"/>
    <sheet name="SU A0010" sheetId="395" r:id="rId335"/>
    <sheet name="SU 10001" sheetId="396" r:id="rId336"/>
    <sheet name="SU 10002" sheetId="397" r:id="rId337"/>
    <sheet name="SU 10003" sheetId="398" r:id="rId338"/>
    <sheet name="SU A0011" sheetId="399" r:id="rId339"/>
    <sheet name="SU 11001" sheetId="400" r:id="rId340"/>
    <sheet name="SU 11002" sheetId="402" r:id="rId341"/>
    <sheet name="SU 11003" sheetId="404" r:id="rId342"/>
    <sheet name="SU 11004" sheetId="405" r:id="rId343"/>
    <sheet name="SU 11005" sheetId="406" r:id="rId344"/>
    <sheet name="SU 11006" sheetId="407" r:id="rId345"/>
    <sheet name="SU 11007" sheetId="408" r:id="rId346"/>
    <sheet name="SU A0012" sheetId="409" r:id="rId347"/>
    <sheet name="SU 12001" sheetId="410" r:id="rId348"/>
    <sheet name="SU 12002" sheetId="412" r:id="rId349"/>
    <sheet name="SU 12003" sheetId="413" r:id="rId350"/>
    <sheet name="SU 12004" sheetId="414" r:id="rId351"/>
    <sheet name="SU 12005" sheetId="415" r:id="rId352"/>
    <sheet name="SU 12006" sheetId="416" r:id="rId353"/>
    <sheet name="SU 12007" sheetId="417" r:id="rId354"/>
    <sheet name="Wheels and Tires" sheetId="418" r:id="rId355"/>
    <sheet name="WT A0001" sheetId="419" r:id="rId356"/>
    <sheet name="WT 01001" sheetId="420" r:id="rId357"/>
    <sheet name="WT 01002" sheetId="421" r:id="rId358"/>
    <sheet name="WT 01003" sheetId="422" r:id="rId359"/>
    <sheet name="WT A0002" sheetId="423" r:id="rId360"/>
    <sheet name="WT 02001" sheetId="424" r:id="rId361"/>
    <sheet name="WT 02002" sheetId="426" r:id="rId362"/>
    <sheet name="WT 02003" sheetId="427" r:id="rId363"/>
    <sheet name="WT A0003" sheetId="429" r:id="rId364"/>
    <sheet name="WT 03001" sheetId="430" r:id="rId365"/>
    <sheet name="WT 03002" sheetId="432" r:id="rId366"/>
    <sheet name="Shrink disc drawing" sheetId="6" r:id="rId367"/>
    <sheet name="Upper mount drawing" sheetId="35" r:id="rId368"/>
    <sheet name="Bottom mount drawing" sheetId="45" r:id="rId369"/>
    <sheet name="Bottom link drawing" sheetId="37" r:id="rId370"/>
    <sheet name="Exhaust tip drawing" sheetId="49" r:id="rId371"/>
    <sheet name="Exhaust flange drawing" sheetId="51" r:id="rId372"/>
    <sheet name="Fuel tank drawing" sheetId="71" r:id="rId373"/>
    <sheet name="Front tab drawing" sheetId="67" r:id="rId374"/>
    <sheet name="Pipe end drawing" sheetId="85" r:id="rId375"/>
    <sheet name="Injector housing drawing" sheetId="91" r:id="rId376"/>
    <sheet name="Bearing Carrier" sheetId="122" r:id="rId377"/>
    <sheet name="Rear sprocket adapter drawing" sheetId="141" r:id="rId378"/>
    <sheet name="Upper chain shield drawing" sheetId="146" r:id="rId379"/>
    <sheet name="Jacking Point Tab Drawing" sheetId="151" r:id="rId380"/>
    <sheet name="Attenuator Drawing" sheetId="154" r:id="rId381"/>
    <sheet name="Pedal rail" sheetId="188" r:id="rId382"/>
    <sheet name="Pedal base" sheetId="190" r:id="rId383"/>
    <sheet name="Throttle Pedal" sheetId="191" r:id="rId384"/>
    <sheet name="Brake Pedal" sheetId="192" r:id="rId385"/>
    <sheet name="Actuator right mount" sheetId="211" r:id="rId386"/>
    <sheet name="Shift lever drawing" sheetId="221" r:id="rId387"/>
    <sheet name="Firewall main drawing" sheetId="282" r:id="rId388"/>
    <sheet name="Firewall lower drawing" sheetId="281" r:id="rId389"/>
    <sheet name="Steering column mount drawing" sheetId="305" r:id="rId390"/>
    <sheet name="Steering Wheel Mount drawing" sheetId="309" r:id="rId391"/>
    <sheet name="Steering Spacer drawing" sheetId="311" r:id="rId392"/>
    <sheet name="Lower rack mount drawing" sheetId="331" r:id="rId393"/>
    <sheet name="Bearing support drawing" sheetId="343" r:id="rId394"/>
    <sheet name="Double bearing support drawing" sheetId="345" r:id="rId395"/>
    <sheet name="Upper bearing support drawing" sheetId="352" r:id="rId396"/>
    <sheet name="Rear suspension insert drawing" sheetId="360" r:id="rId397"/>
    <sheet name="Rocker drawing" sheetId="391" r:id="rId398"/>
    <sheet name="Front upright drawing" sheetId="401" r:id="rId399"/>
    <sheet name="Steering tab drawing" sheetId="403" r:id="rId400"/>
    <sheet name="Rear uprights drawing" sheetId="411" r:id="rId401"/>
    <sheet name="Front hub drawing" sheetId="425" r:id="rId402"/>
    <sheet name="Sensor target drawing" sheetId="428" r:id="rId403"/>
    <sheet name="Rear hub drawing" sheetId="431" r:id="rId404"/>
  </sheets>
  <externalReferences>
    <externalReference r:id="rId405"/>
  </externalReferences>
  <definedNames>
    <definedName name="_____________uni2" localSheetId="210">#REF!</definedName>
    <definedName name="_____________uni2" localSheetId="213">#REF!</definedName>
    <definedName name="_____________uni2" localSheetId="387">#REF!</definedName>
    <definedName name="_____________uni2" localSheetId="119">#REF!</definedName>
    <definedName name="_____________uni2" localSheetId="375">#REF!</definedName>
    <definedName name="_____________uni2" localSheetId="381">#REF!</definedName>
    <definedName name="_____________uni2">#REF!</definedName>
    <definedName name="____________uni2" localSheetId="210">#REF!</definedName>
    <definedName name="____________uni2" localSheetId="213">#REF!</definedName>
    <definedName name="____________uni2" localSheetId="387">#REF!</definedName>
    <definedName name="____________uni2" localSheetId="119">#REF!</definedName>
    <definedName name="____________uni2" localSheetId="372">#REF!</definedName>
    <definedName name="____________uni2" localSheetId="375">#REF!</definedName>
    <definedName name="____________uni2" localSheetId="381">#REF!</definedName>
    <definedName name="____________uni2">#REF!</definedName>
    <definedName name="___________uni2" localSheetId="53">#REF!</definedName>
    <definedName name="__________uni2" localSheetId="51">#REF!</definedName>
    <definedName name="_________uni2" localSheetId="50">#REF!</definedName>
    <definedName name="_________uni3" localSheetId="210">#REF!</definedName>
    <definedName name="_________uni3" localSheetId="213">#REF!</definedName>
    <definedName name="_________uni3" localSheetId="387">#REF!</definedName>
    <definedName name="_________uni3" localSheetId="119">#REF!</definedName>
    <definedName name="_________uni3" localSheetId="372">#REF!</definedName>
    <definedName name="_________uni3" localSheetId="375">#REF!</definedName>
    <definedName name="_________uni3" localSheetId="381">#REF!</definedName>
    <definedName name="_________uni3">#REF!</definedName>
    <definedName name="________uni2" localSheetId="210">#REF!</definedName>
    <definedName name="________uni2" localSheetId="213">#REF!</definedName>
    <definedName name="________uni2" localSheetId="387">#REF!</definedName>
    <definedName name="________uni2" localSheetId="119">#REF!</definedName>
    <definedName name="________uni2" localSheetId="372">#REF!</definedName>
    <definedName name="________uni2" localSheetId="375">#REF!</definedName>
    <definedName name="________uni2" localSheetId="381">#REF!</definedName>
    <definedName name="________uni2">#REF!</definedName>
    <definedName name="________uni26" localSheetId="210">#REF!</definedName>
    <definedName name="________uni26" localSheetId="213">#REF!</definedName>
    <definedName name="________uni26" localSheetId="387">#REF!</definedName>
    <definedName name="________uni26" localSheetId="119">#REF!</definedName>
    <definedName name="________uni26" localSheetId="372">#REF!</definedName>
    <definedName name="________uni26" localSheetId="375">#REF!</definedName>
    <definedName name="________uni26" localSheetId="381">#REF!</definedName>
    <definedName name="________uni26">#REF!</definedName>
    <definedName name="________uni3" localSheetId="53">#REF!</definedName>
    <definedName name="________uni4" localSheetId="210">#REF!</definedName>
    <definedName name="________uni4" localSheetId="213">#REF!</definedName>
    <definedName name="________uni4" localSheetId="387">#REF!</definedName>
    <definedName name="________uni4" localSheetId="119">#REF!</definedName>
    <definedName name="________uni4" localSheetId="372">#REF!</definedName>
    <definedName name="________uni4" localSheetId="375">#REF!</definedName>
    <definedName name="________uni4" localSheetId="381">#REF!</definedName>
    <definedName name="________uni4">#REF!</definedName>
    <definedName name="________uni6" localSheetId="210">#REF!</definedName>
    <definedName name="________uni6" localSheetId="213">#REF!</definedName>
    <definedName name="________uni6" localSheetId="387">#REF!</definedName>
    <definedName name="________uni6" localSheetId="119">#REF!</definedName>
    <definedName name="________uni6" localSheetId="372">#REF!</definedName>
    <definedName name="________uni6" localSheetId="375">#REF!</definedName>
    <definedName name="________uni6" localSheetId="381">#REF!</definedName>
    <definedName name="________uni6">#REF!</definedName>
    <definedName name="________uni7" localSheetId="210">#REF!</definedName>
    <definedName name="________uni7" localSheetId="213">#REF!</definedName>
    <definedName name="________uni7" localSheetId="387">#REF!</definedName>
    <definedName name="________uni7" localSheetId="119">#REF!</definedName>
    <definedName name="________uni7" localSheetId="372">#REF!</definedName>
    <definedName name="________uni7" localSheetId="375">#REF!</definedName>
    <definedName name="________uni7" localSheetId="381">#REF!</definedName>
    <definedName name="________uni7">#REF!</definedName>
    <definedName name="_______uni2" localSheetId="44">#REF!</definedName>
    <definedName name="_______uni26" localSheetId="53">#REF!</definedName>
    <definedName name="_______uni3" localSheetId="51">#REF!</definedName>
    <definedName name="_______uni4" localSheetId="53">#REF!</definedName>
    <definedName name="_______uni6" localSheetId="53">#REF!</definedName>
    <definedName name="_______uni7" localSheetId="53">#REF!</definedName>
    <definedName name="______uni14" localSheetId="210">#REF!</definedName>
    <definedName name="______uni14" localSheetId="213">#REF!</definedName>
    <definedName name="______uni14" localSheetId="387">#REF!</definedName>
    <definedName name="______uni14" localSheetId="119">#REF!</definedName>
    <definedName name="______uni14" localSheetId="372">#REF!</definedName>
    <definedName name="______uni14" localSheetId="375">#REF!</definedName>
    <definedName name="______uni14" localSheetId="381">#REF!</definedName>
    <definedName name="______uni14">#REF!</definedName>
    <definedName name="______uni2" localSheetId="43">#REF!</definedName>
    <definedName name="______uni26" localSheetId="51">#REF!</definedName>
    <definedName name="______uni3" localSheetId="50">#REF!</definedName>
    <definedName name="______uni4" localSheetId="51">#REF!</definedName>
    <definedName name="______uni54" localSheetId="210">#REF!</definedName>
    <definedName name="______uni54" localSheetId="213">#REF!</definedName>
    <definedName name="______uni54" localSheetId="387">#REF!</definedName>
    <definedName name="______uni54" localSheetId="119">#REF!</definedName>
    <definedName name="______uni54" localSheetId="372">#REF!</definedName>
    <definedName name="______uni54" localSheetId="375">#REF!</definedName>
    <definedName name="______uni54" localSheetId="381">#REF!</definedName>
    <definedName name="______uni54">#REF!</definedName>
    <definedName name="______uni6" localSheetId="51">#REF!</definedName>
    <definedName name="______uni7" localSheetId="51">#REF!</definedName>
    <definedName name="_____uni14" localSheetId="53">#REF!</definedName>
    <definedName name="_____uni2" localSheetId="42">#REF!</definedName>
    <definedName name="_____uni26" localSheetId="50">#REF!</definedName>
    <definedName name="_____uni3" localSheetId="210">#REF!</definedName>
    <definedName name="_____uni3" localSheetId="213">#REF!</definedName>
    <definedName name="_____uni3" localSheetId="387">#REF!</definedName>
    <definedName name="_____uni3" localSheetId="119">#REF!</definedName>
    <definedName name="_____uni3" localSheetId="372">#REF!</definedName>
    <definedName name="_____uni3" localSheetId="375">#REF!</definedName>
    <definedName name="_____uni3" localSheetId="381">#REF!</definedName>
    <definedName name="_____uni3">#REF!</definedName>
    <definedName name="_____uni4" localSheetId="50">#REF!</definedName>
    <definedName name="_____uni54" localSheetId="53">#REF!</definedName>
    <definedName name="_____uni6" localSheetId="50">#REF!</definedName>
    <definedName name="_____uni7" localSheetId="50">#REF!</definedName>
    <definedName name="____uni14" localSheetId="50">#REF!</definedName>
    <definedName name="____uni2" localSheetId="41">#REF!</definedName>
    <definedName name="____uni26" localSheetId="210">#REF!</definedName>
    <definedName name="____uni26" localSheetId="213">#REF!</definedName>
    <definedName name="____uni26" localSheetId="387">#REF!</definedName>
    <definedName name="____uni26" localSheetId="119">#REF!</definedName>
    <definedName name="____uni26" localSheetId="372">#REF!</definedName>
    <definedName name="____uni26" localSheetId="375">#REF!</definedName>
    <definedName name="____uni26" localSheetId="381">#REF!</definedName>
    <definedName name="____uni26">#REF!</definedName>
    <definedName name="____uni3" localSheetId="44">#REF!</definedName>
    <definedName name="____uni4" localSheetId="210">#REF!</definedName>
    <definedName name="____uni4" localSheetId="213">#REF!</definedName>
    <definedName name="____uni4" localSheetId="387">#REF!</definedName>
    <definedName name="____uni4" localSheetId="119">#REF!</definedName>
    <definedName name="____uni4" localSheetId="372">#REF!</definedName>
    <definedName name="____uni4" localSheetId="375">#REF!</definedName>
    <definedName name="____uni4" localSheetId="381">#REF!</definedName>
    <definedName name="____uni4">#REF!</definedName>
    <definedName name="____uni54" localSheetId="50">#REF!</definedName>
    <definedName name="____uni6" localSheetId="210">#REF!</definedName>
    <definedName name="____uni6" localSheetId="213">#REF!</definedName>
    <definedName name="____uni6" localSheetId="387">#REF!</definedName>
    <definedName name="____uni6" localSheetId="119">#REF!</definedName>
    <definedName name="____uni6" localSheetId="372">#REF!</definedName>
    <definedName name="____uni6" localSheetId="375">#REF!</definedName>
    <definedName name="____uni6" localSheetId="381">#REF!</definedName>
    <definedName name="____uni6">#REF!</definedName>
    <definedName name="____uni7" localSheetId="210">#REF!</definedName>
    <definedName name="____uni7" localSheetId="213">#REF!</definedName>
    <definedName name="____uni7" localSheetId="387">#REF!</definedName>
    <definedName name="____uni7" localSheetId="119">#REF!</definedName>
    <definedName name="____uni7" localSheetId="372">#REF!</definedName>
    <definedName name="____uni7" localSheetId="375">#REF!</definedName>
    <definedName name="____uni7" localSheetId="381">#REF!</definedName>
    <definedName name="____uni7">#REF!</definedName>
    <definedName name="___uni14" localSheetId="210">#REF!</definedName>
    <definedName name="___uni14" localSheetId="213">#REF!</definedName>
    <definedName name="___uni14" localSheetId="387">#REF!</definedName>
    <definedName name="___uni14" localSheetId="119">#REF!</definedName>
    <definedName name="___uni14" localSheetId="372">#REF!</definedName>
    <definedName name="___uni14" localSheetId="375">#REF!</definedName>
    <definedName name="___uni14" localSheetId="381">#REF!</definedName>
    <definedName name="___uni14">#REF!</definedName>
    <definedName name="___uni2" localSheetId="40">#REF!</definedName>
    <definedName name="___uni26" localSheetId="44">#REF!</definedName>
    <definedName name="___uni3" localSheetId="41">#REF!</definedName>
    <definedName name="___uni4" localSheetId="44">#REF!</definedName>
    <definedName name="___uni54" localSheetId="210">#REF!</definedName>
    <definedName name="___uni54" localSheetId="213">#REF!</definedName>
    <definedName name="___uni54" localSheetId="387">#REF!</definedName>
    <definedName name="___uni54" localSheetId="119">#REF!</definedName>
    <definedName name="___uni54" localSheetId="372">#REF!</definedName>
    <definedName name="___uni54" localSheetId="375">#REF!</definedName>
    <definedName name="___uni54" localSheetId="381">#REF!</definedName>
    <definedName name="___uni54">#REF!</definedName>
    <definedName name="___uni6" localSheetId="44">#REF!</definedName>
    <definedName name="___uni7" localSheetId="44">#REF!</definedName>
    <definedName name="__uni14" localSheetId="40">#REF!</definedName>
    <definedName name="__uni2" localSheetId="36">#REF!</definedName>
    <definedName name="__uni26" localSheetId="40">#REF!</definedName>
    <definedName name="__uni3" localSheetId="40">#REF!</definedName>
    <definedName name="__uni4" localSheetId="40">#REF!</definedName>
    <definedName name="__uni54" localSheetId="40">#REF!</definedName>
    <definedName name="__uni6" localSheetId="40">#REF!</definedName>
    <definedName name="__uni7" localSheetId="40">#REF!</definedName>
    <definedName name="_uni14" localSheetId="210">#REF!</definedName>
    <definedName name="_uni14" localSheetId="213">#REF!</definedName>
    <definedName name="_uni14" localSheetId="387">#REF!</definedName>
    <definedName name="_uni14" localSheetId="119">#REF!</definedName>
    <definedName name="_uni14" localSheetId="372">#REF!</definedName>
    <definedName name="_uni14" localSheetId="375">#REF!</definedName>
    <definedName name="_uni14" localSheetId="381">#REF!</definedName>
    <definedName name="_uni14">#REF!</definedName>
    <definedName name="_uni2" localSheetId="210">#REF!</definedName>
    <definedName name="_uni2" localSheetId="213">#REF!</definedName>
    <definedName name="_uni2" localSheetId="387">#REF!</definedName>
    <definedName name="_uni2" localSheetId="119">#REF!</definedName>
    <definedName name="_uni2" localSheetId="372">#REF!</definedName>
    <definedName name="_uni2" localSheetId="375">#REF!</definedName>
    <definedName name="_uni2" localSheetId="381">#REF!</definedName>
    <definedName name="_uni2">#REF!</definedName>
    <definedName name="_uni26" localSheetId="210">#REF!</definedName>
    <definedName name="_uni26" localSheetId="213">#REF!</definedName>
    <definedName name="_uni26" localSheetId="387">#REF!</definedName>
    <definedName name="_uni26" localSheetId="119">#REF!</definedName>
    <definedName name="_uni26" localSheetId="372">#REF!</definedName>
    <definedName name="_uni26" localSheetId="375">#REF!</definedName>
    <definedName name="_uni26" localSheetId="381">#REF!</definedName>
    <definedName name="_uni26">#REF!</definedName>
    <definedName name="_uni3" localSheetId="210">#REF!</definedName>
    <definedName name="_uni3" localSheetId="213">#REF!</definedName>
    <definedName name="_uni3" localSheetId="387">#REF!</definedName>
    <definedName name="_uni3" localSheetId="119">#REF!</definedName>
    <definedName name="_uni3" localSheetId="372">#REF!</definedName>
    <definedName name="_uni3" localSheetId="375">#REF!</definedName>
    <definedName name="_uni3" localSheetId="381">#REF!</definedName>
    <definedName name="_uni3">#REF!</definedName>
    <definedName name="_uni4" localSheetId="210">#REF!</definedName>
    <definedName name="_uni4" localSheetId="213">#REF!</definedName>
    <definedName name="_uni4" localSheetId="387">#REF!</definedName>
    <definedName name="_uni4" localSheetId="119">#REF!</definedName>
    <definedName name="_uni4" localSheetId="372">#REF!</definedName>
    <definedName name="_uni4" localSheetId="375">#REF!</definedName>
    <definedName name="_uni4" localSheetId="381">#REF!</definedName>
    <definedName name="_uni4">#REF!</definedName>
    <definedName name="_uni54" localSheetId="210">#REF!</definedName>
    <definedName name="_uni54" localSheetId="213">#REF!</definedName>
    <definedName name="_uni54" localSheetId="387">#REF!</definedName>
    <definedName name="_uni54" localSheetId="119">#REF!</definedName>
    <definedName name="_uni54" localSheetId="372">#REF!</definedName>
    <definedName name="_uni54" localSheetId="375">#REF!</definedName>
    <definedName name="_uni54" localSheetId="381">#REF!</definedName>
    <definedName name="_uni54">#REF!</definedName>
    <definedName name="_uni6" localSheetId="210">#REF!</definedName>
    <definedName name="_uni6" localSheetId="213">#REF!</definedName>
    <definedName name="_uni6" localSheetId="387">#REF!</definedName>
    <definedName name="_uni6" localSheetId="119">#REF!</definedName>
    <definedName name="_uni6" localSheetId="372">#REF!</definedName>
    <definedName name="_uni6" localSheetId="375">#REF!</definedName>
    <definedName name="_uni6" localSheetId="381">#REF!</definedName>
    <definedName name="_uni6">#REF!</definedName>
    <definedName name="_uni7" localSheetId="210">#REF!</definedName>
    <definedName name="_uni7" localSheetId="213">#REF!</definedName>
    <definedName name="_uni7" localSheetId="387">#REF!</definedName>
    <definedName name="_uni7" localSheetId="119">#REF!</definedName>
    <definedName name="_uni7" localSheetId="372">#REF!</definedName>
    <definedName name="_uni7" localSheetId="375">#REF!</definedName>
    <definedName name="_uni7" localSheetId="381">#REF!</definedName>
    <definedName name="_uni7">#REF!</definedName>
    <definedName name="bgtrvfcd" localSheetId="368">#REF!</definedName>
    <definedName name="bgtrvfcd" localSheetId="210">#REF!</definedName>
    <definedName name="bgtrvfcd" localSheetId="213">#REF!</definedName>
    <definedName name="bgtrvfcd" localSheetId="387">#REF!</definedName>
    <definedName name="bgtrvfcd" localSheetId="119">#REF!</definedName>
    <definedName name="bgtrvfcd" localSheetId="372">#REF!</definedName>
    <definedName name="bgtrvfcd" localSheetId="375">#REF!</definedName>
    <definedName name="bgtrvfcd" localSheetId="381">#REF!</definedName>
    <definedName name="bgtrvfcd">#REF!</definedName>
    <definedName name="bgtvfc" localSheetId="368">#REF!</definedName>
    <definedName name="bgtvfc" localSheetId="210">#REF!</definedName>
    <definedName name="bgtvfc" localSheetId="213">#REF!</definedName>
    <definedName name="bgtvfc" localSheetId="33">#REF!</definedName>
    <definedName name="bgtvfc" localSheetId="34">#REF!</definedName>
    <definedName name="bgtvfc" localSheetId="387">#REF!</definedName>
    <definedName name="bgtvfc" localSheetId="119">#REF!</definedName>
    <definedName name="bgtvfc" localSheetId="372">#REF!</definedName>
    <definedName name="bgtvfc" localSheetId="375">#REF!</definedName>
    <definedName name="bgtvfc" localSheetId="381">#REF!</definedName>
    <definedName name="bgtvfc">#REF!</definedName>
    <definedName name="bgvfcd" localSheetId="368">#REF!</definedName>
    <definedName name="bgvfcd" localSheetId="210">#REF!</definedName>
    <definedName name="bgvfcd" localSheetId="213">#REF!</definedName>
    <definedName name="bgvfcd" localSheetId="33">#REF!</definedName>
    <definedName name="bgvfcd" localSheetId="34">#REF!</definedName>
    <definedName name="bgvfcd" localSheetId="387">#REF!</definedName>
    <definedName name="bgvfcd" localSheetId="119">#REF!</definedName>
    <definedName name="bgvfcd" localSheetId="372">#REF!</definedName>
    <definedName name="bgvfcd" localSheetId="375">#REF!</definedName>
    <definedName name="bgvfcd" localSheetId="381">#REF!</definedName>
    <definedName name="bgvfcd">#REF!</definedName>
    <definedName name="btgrvf" localSheetId="368">#REF!</definedName>
    <definedName name="btgrvf" localSheetId="210">#REF!</definedName>
    <definedName name="btgrvf" localSheetId="213">#REF!</definedName>
    <definedName name="btgrvf" localSheetId="387">#REF!</definedName>
    <definedName name="btgrvf" localSheetId="119">#REF!</definedName>
    <definedName name="btgrvf" localSheetId="372">#REF!</definedName>
    <definedName name="btgrvf" localSheetId="375">#REF!</definedName>
    <definedName name="btgrvf" localSheetId="381">#REF!</definedName>
    <definedName name="btgrvf">#REF!</definedName>
    <definedName name="btvfcds" localSheetId="368">#REF!</definedName>
    <definedName name="btvfcds" localSheetId="210">#REF!</definedName>
    <definedName name="btvfcds" localSheetId="213">#REF!</definedName>
    <definedName name="btvfcds" localSheetId="387">#REF!</definedName>
    <definedName name="btvfcds" localSheetId="119">#REF!</definedName>
    <definedName name="btvfcds" localSheetId="372">#REF!</definedName>
    <definedName name="btvfcds" localSheetId="375">#REF!</definedName>
    <definedName name="btvfcds" localSheetId="381">#REF!</definedName>
    <definedName name="btvfcds">#REF!</definedName>
    <definedName name="Car" localSheetId="210">#REF!</definedName>
    <definedName name="Car" localSheetId="213">#REF!</definedName>
    <definedName name="Car" localSheetId="387">#REF!</definedName>
    <definedName name="Car" localSheetId="119">#REF!</definedName>
    <definedName name="Car" localSheetId="372">#REF!</definedName>
    <definedName name="Car" localSheetId="375">#REF!</definedName>
    <definedName name="Car" localSheetId="381">#REF!</definedName>
    <definedName name="Car">#REF!</definedName>
    <definedName name="CompCode" localSheetId="210">#REF!</definedName>
    <definedName name="CompCode" localSheetId="213">#REF!</definedName>
    <definedName name="CompCode" localSheetId="387">#REF!</definedName>
    <definedName name="CompCode" localSheetId="119">#REF!</definedName>
    <definedName name="CompCode" localSheetId="372">#REF!</definedName>
    <definedName name="CompCode" localSheetId="375">#REF!</definedName>
    <definedName name="CompCode" localSheetId="381">#REF!</definedName>
    <definedName name="CompCode">#REF!</definedName>
    <definedName name="cwlkvclwekjc" localSheetId="210">#REF!</definedName>
    <definedName name="cwlkvclwekjc" localSheetId="213">#REF!</definedName>
    <definedName name="cwlkvclwekjc" localSheetId="387">#REF!</definedName>
    <definedName name="cwlkvclwekjc" localSheetId="119">#REF!</definedName>
    <definedName name="cwlkvclwekjc">#REF!</definedName>
    <definedName name="dede" localSheetId="213">#REF!</definedName>
    <definedName name="dede" localSheetId="217">#REF!</definedName>
    <definedName name="dede" localSheetId="387">#REF!</definedName>
    <definedName name="dede">#REF!</definedName>
    <definedName name="dqwdqd" localSheetId="210">#REF!</definedName>
    <definedName name="dqwdqd" localSheetId="213">#REF!</definedName>
    <definedName name="dqwdqd" localSheetId="387">#REF!</definedName>
    <definedName name="dqwdqd" localSheetId="119">#REF!</definedName>
    <definedName name="dqwdqd">#REF!</definedName>
    <definedName name="eded" localSheetId="213">#REF!</definedName>
    <definedName name="eded" localSheetId="217">#REF!</definedName>
    <definedName name="eded" localSheetId="387">#REF!</definedName>
    <definedName name="eded">#REF!</definedName>
    <definedName name="er" localSheetId="368">#REF!</definedName>
    <definedName name="er" localSheetId="210">#REF!</definedName>
    <definedName name="er" localSheetId="213">#REF!</definedName>
    <definedName name="er" localSheetId="34">#REF!</definedName>
    <definedName name="er" localSheetId="40">#REF!</definedName>
    <definedName name="er" localSheetId="44">#REF!</definedName>
    <definedName name="er" localSheetId="50">#REF!</definedName>
    <definedName name="er" localSheetId="51">#REF!</definedName>
    <definedName name="er" localSheetId="53">#REF!</definedName>
    <definedName name="er" localSheetId="387">#REF!</definedName>
    <definedName name="er" localSheetId="119">#REF!</definedName>
    <definedName name="er" localSheetId="372">#REF!</definedName>
    <definedName name="er" localSheetId="375">#REF!</definedName>
    <definedName name="er" localSheetId="381">#REF!</definedName>
    <definedName name="er">#REF!</definedName>
    <definedName name="ervcdx" localSheetId="210">#REF!</definedName>
    <definedName name="ervcdx" localSheetId="213">#REF!</definedName>
    <definedName name="ervcdx" localSheetId="40">#REF!</definedName>
    <definedName name="ervcdx" localSheetId="50">#REF!</definedName>
    <definedName name="ervcdx" localSheetId="53">#REF!</definedName>
    <definedName name="ervcdx" localSheetId="387">#REF!</definedName>
    <definedName name="ervcdx" localSheetId="119">#REF!</definedName>
    <definedName name="ervcdx" localSheetId="372">#REF!</definedName>
    <definedName name="ervcdx" localSheetId="375">#REF!</definedName>
    <definedName name="ervcdx" localSheetId="381">#REF!</definedName>
    <definedName name="ervcdx">#REF!</definedName>
    <definedName name="ezfdscx" localSheetId="368">#REF!</definedName>
    <definedName name="ezfdscx" localSheetId="210">#REF!</definedName>
    <definedName name="ezfdscx" localSheetId="213">#REF!</definedName>
    <definedName name="ezfdscx" localSheetId="387">#REF!</definedName>
    <definedName name="ezfdscx" localSheetId="119">#REF!</definedName>
    <definedName name="ezfdscx" localSheetId="372">#REF!</definedName>
    <definedName name="ezfdscx" localSheetId="375">#REF!</definedName>
    <definedName name="ezfdscx" localSheetId="381">#REF!</definedName>
    <definedName name="ezfdscx">#REF!</definedName>
    <definedName name="gbvf" localSheetId="210">#REF!</definedName>
    <definedName name="gbvf" localSheetId="213">#REF!</definedName>
    <definedName name="gbvf" localSheetId="387">#REF!</definedName>
    <definedName name="gbvf" localSheetId="119">#REF!</definedName>
    <definedName name="gbvf" localSheetId="372">#REF!</definedName>
    <definedName name="gbvf" localSheetId="375">#REF!</definedName>
    <definedName name="gbvf" localSheetId="381">#REF!</definedName>
    <definedName name="gbvf">#REF!</definedName>
    <definedName name="gbvfcd" localSheetId="210">#REF!</definedName>
    <definedName name="gbvfcd" localSheetId="213">#REF!</definedName>
    <definedName name="gbvfcd" localSheetId="40">#REF!</definedName>
    <definedName name="gbvfcd" localSheetId="50">#REF!</definedName>
    <definedName name="gbvfcd" localSheetId="53">#REF!</definedName>
    <definedName name="gbvfcd" localSheetId="387">#REF!</definedName>
    <definedName name="gbvfcd" localSheetId="119">#REF!</definedName>
    <definedName name="gbvfcd" localSheetId="372">#REF!</definedName>
    <definedName name="gbvfcd" localSheetId="375">#REF!</definedName>
    <definedName name="gbvfcd" localSheetId="381">#REF!</definedName>
    <definedName name="gbvfcd">#REF!</definedName>
    <definedName name="gr" localSheetId="368">#REF!</definedName>
    <definedName name="gr" localSheetId="210">#REF!</definedName>
    <definedName name="gr" localSheetId="213">#REF!</definedName>
    <definedName name="gr" localSheetId="34">#REF!</definedName>
    <definedName name="gr" localSheetId="387">#REF!</definedName>
    <definedName name="gr" localSheetId="119">#REF!</definedName>
    <definedName name="gr" localSheetId="372">#REF!</definedName>
    <definedName name="gr" localSheetId="375">#REF!</definedName>
    <definedName name="gr" localSheetId="381">#REF!</definedName>
    <definedName name="gr">#REF!</definedName>
    <definedName name="gref" localSheetId="210">#REF!</definedName>
    <definedName name="gref" localSheetId="213">#REF!</definedName>
    <definedName name="gref" localSheetId="387">#REF!</definedName>
    <definedName name="gref" localSheetId="119">#REF!</definedName>
    <definedName name="gref" localSheetId="372">#REF!</definedName>
    <definedName name="gref" localSheetId="375">#REF!</definedName>
    <definedName name="gref" localSheetId="381">#REF!</definedName>
    <definedName name="gref">#REF!</definedName>
    <definedName name="grefzd" localSheetId="210">#REF!</definedName>
    <definedName name="grefzd" localSheetId="213">#REF!</definedName>
    <definedName name="grefzd" localSheetId="387">#REF!</definedName>
    <definedName name="grefzd" localSheetId="119">#REF!</definedName>
    <definedName name="grefzd" localSheetId="372">#REF!</definedName>
    <definedName name="grefzd" localSheetId="375">#REF!</definedName>
    <definedName name="grefzd" localSheetId="381">#REF!</definedName>
    <definedName name="grefzd">#REF!</definedName>
    <definedName name="grfd" localSheetId="368">#REF!</definedName>
    <definedName name="grfd" localSheetId="210">#REF!</definedName>
    <definedName name="grfd" localSheetId="213">#REF!</definedName>
    <definedName name="grfd" localSheetId="31">#REF!</definedName>
    <definedName name="grfd" localSheetId="33">#REF!</definedName>
    <definedName name="grfd" localSheetId="34">#REF!</definedName>
    <definedName name="grfd" localSheetId="387">#REF!</definedName>
    <definedName name="grfd" localSheetId="119">#REF!</definedName>
    <definedName name="grfd" localSheetId="372">#REF!</definedName>
    <definedName name="grfd" localSheetId="375">#REF!</definedName>
    <definedName name="grfd" localSheetId="381">#REF!</definedName>
    <definedName name="grfd">#REF!</definedName>
    <definedName name="gtrfeds" localSheetId="368">#REF!</definedName>
    <definedName name="gtrfeds" localSheetId="210">#REF!</definedName>
    <definedName name="gtrfeds" localSheetId="213">#REF!</definedName>
    <definedName name="gtrfeds" localSheetId="387">#REF!</definedName>
    <definedName name="gtrfeds" localSheetId="119">#REF!</definedName>
    <definedName name="gtrfeds" localSheetId="372">#REF!</definedName>
    <definedName name="gtrfeds" localSheetId="375">#REF!</definedName>
    <definedName name="gtrfeds" localSheetId="381">#REF!</definedName>
    <definedName name="gtrfeds">#REF!</definedName>
    <definedName name="gtrvfec" localSheetId="210">#REF!</definedName>
    <definedName name="gtrvfec" localSheetId="213">#REF!</definedName>
    <definedName name="gtrvfec" localSheetId="387">#REF!</definedName>
    <definedName name="gtrvfec" localSheetId="119">#REF!</definedName>
    <definedName name="gtrvfec" localSheetId="372">#REF!</definedName>
    <definedName name="gtrvfec" localSheetId="375">#REF!</definedName>
    <definedName name="gtrvfec" localSheetId="381">#REF!</definedName>
    <definedName name="gtrvfec">#REF!</definedName>
    <definedName name="gvfc" localSheetId="368">#REF!</definedName>
    <definedName name="gvfc" localSheetId="210">#REF!</definedName>
    <definedName name="gvfc" localSheetId="213">#REF!</definedName>
    <definedName name="gvfc" localSheetId="33">#REF!</definedName>
    <definedName name="gvfc" localSheetId="34">#REF!</definedName>
    <definedName name="gvfc" localSheetId="387">#REF!</definedName>
    <definedName name="gvfc" localSheetId="119">#REF!</definedName>
    <definedName name="gvfc" localSheetId="372">#REF!</definedName>
    <definedName name="gvfc" localSheetId="375">#REF!</definedName>
    <definedName name="gvfc" localSheetId="381">#REF!</definedName>
    <definedName name="gvfc">#REF!</definedName>
    <definedName name="gvfcd" localSheetId="368">#REF!</definedName>
    <definedName name="gvfcd" localSheetId="210">#REF!</definedName>
    <definedName name="gvfcd" localSheetId="213">#REF!</definedName>
    <definedName name="gvfcd" localSheetId="33">#REF!</definedName>
    <definedName name="gvfcd" localSheetId="34">#REF!</definedName>
    <definedName name="gvfcd" localSheetId="387">#REF!</definedName>
    <definedName name="gvfcd" localSheetId="119">#REF!</definedName>
    <definedName name="gvfcd" localSheetId="372">#REF!</definedName>
    <definedName name="gvfcd" localSheetId="375">#REF!</definedName>
    <definedName name="gvfcd" localSheetId="381">#REF!</definedName>
    <definedName name="gvfcd">#REF!</definedName>
    <definedName name="gvfdc" localSheetId="368">#REF!</definedName>
    <definedName name="gvfdc" localSheetId="210">#REF!</definedName>
    <definedName name="gvfdc" localSheetId="213">#REF!</definedName>
    <definedName name="gvfdc" localSheetId="387">#REF!</definedName>
    <definedName name="gvfdc" localSheetId="119">#REF!</definedName>
    <definedName name="gvfdc" localSheetId="372">#REF!</definedName>
    <definedName name="gvfdc" localSheetId="375">#REF!</definedName>
    <definedName name="gvfdc" localSheetId="381">#REF!</definedName>
    <definedName name="gvfdc">#REF!</definedName>
    <definedName name="hgfd" localSheetId="368">#REF!</definedName>
    <definedName name="hgfd" localSheetId="210">#REF!</definedName>
    <definedName name="hgfd" localSheetId="213">#REF!</definedName>
    <definedName name="hgfd" localSheetId="28">#REF!</definedName>
    <definedName name="hgfd" localSheetId="31">#REF!</definedName>
    <definedName name="hgfd" localSheetId="33">#REF!</definedName>
    <definedName name="hgfd" localSheetId="34">#REF!</definedName>
    <definedName name="hgfd" localSheetId="387">#REF!</definedName>
    <definedName name="hgfd" localSheetId="119">#REF!</definedName>
    <definedName name="hgfd" localSheetId="372">#REF!</definedName>
    <definedName name="hgfd" localSheetId="375">#REF!</definedName>
    <definedName name="hgfd" localSheetId="381">#REF!</definedName>
    <definedName name="hgfd">#REF!</definedName>
    <definedName name="hygtrfvcdx" localSheetId="368">#REF!</definedName>
    <definedName name="hygtrfvcdx" localSheetId="210">#REF!</definedName>
    <definedName name="hygtrfvcdx" localSheetId="213">#REF!</definedName>
    <definedName name="hygtrfvcdx" localSheetId="28">#REF!</definedName>
    <definedName name="hygtrfvcdx" localSheetId="29">#REF!</definedName>
    <definedName name="hygtrfvcdx" localSheetId="31">#REF!</definedName>
    <definedName name="hygtrfvcdx" localSheetId="33">#REF!</definedName>
    <definedName name="hygtrfvcdx" localSheetId="34">#REF!</definedName>
    <definedName name="hygtrfvcdx" localSheetId="387">#REF!</definedName>
    <definedName name="hygtrfvcdx" localSheetId="119">#REF!</definedName>
    <definedName name="hygtrfvcdx" localSheetId="372">#REF!</definedName>
    <definedName name="hygtrfvcdx" localSheetId="375">#REF!</definedName>
    <definedName name="hygtrfvcdx" localSheetId="381">#REF!</definedName>
    <definedName name="hygtrfvcdx">#REF!</definedName>
    <definedName name="nbtgv" localSheetId="368">#REF!</definedName>
    <definedName name="nbtgv" localSheetId="210">#REF!</definedName>
    <definedName name="nbtgv" localSheetId="213">#REF!</definedName>
    <definedName name="nbtgv" localSheetId="387">#REF!</definedName>
    <definedName name="nbtgv" localSheetId="119">#REF!</definedName>
    <definedName name="nbtgv" localSheetId="372">#REF!</definedName>
    <definedName name="nbtgv" localSheetId="375">#REF!</definedName>
    <definedName name="nbtgv" localSheetId="381">#REF!</definedName>
    <definedName name="nbtgv">#REF!</definedName>
    <definedName name="_xlnm.Print_Area" localSheetId="206">'EL 02001'!$A$1:$N$17</definedName>
    <definedName name="_xlnm.Print_Area" localSheetId="208">'EL 02003'!$A$1:$N$16</definedName>
    <definedName name="_xlnm.Print_Area" localSheetId="209">'EL 02004'!$A$1:$N$17</definedName>
    <definedName name="_xlnm.Print_Area" localSheetId="217">'EL 04003'!$A$1:$N$17</definedName>
    <definedName name="_xlnm.Print_Area" localSheetId="205">'EL A0002'!$A$1:$N$56</definedName>
    <definedName name="_xlnm.Print_Area" localSheetId="26">'EN 01001'!$A$1:$N$38</definedName>
    <definedName name="_xlnm.Print_Area" localSheetId="27">'EN 01002'!$A$1:$N$43</definedName>
    <definedName name="_xlnm.Print_Area" localSheetId="28">'EN 01003'!$A$1:$N$17</definedName>
    <definedName name="_xlnm.Print_Area" localSheetId="29">'EN 01004'!$A$1:$N$43</definedName>
    <definedName name="_xlnm.Print_Area" localSheetId="30">'EN 01005'!$A$1:$N$51</definedName>
    <definedName name="_xlnm.Print_Area" localSheetId="31">'EN 01006'!$A$1:$N$17</definedName>
    <definedName name="_xlnm.Print_Area" localSheetId="32">'EN 01007'!$A$1:$N$40</definedName>
    <definedName name="_xlnm.Print_Area" localSheetId="33">'EN 01008'!$A$1:$N$36</definedName>
    <definedName name="_xlnm.Print_Area" localSheetId="34">'EN 01009'!$A$1:$N$47</definedName>
    <definedName name="_xlnm.Print_Area" localSheetId="37">'EN 02002'!$A$1:$N$38</definedName>
    <definedName name="_xlnm.Print_Area" localSheetId="38">'EN 02003'!$A$1:$N$43</definedName>
    <definedName name="_xlnm.Print_Area" localSheetId="39">'EN 02004'!$A$1:$N$23</definedName>
    <definedName name="_xlnm.Print_Area" localSheetId="40">'EN 02005'!$A$1:$N$31</definedName>
    <definedName name="_xlnm.Print_Area" localSheetId="41">'EN 02006'!$A$1:$N$26</definedName>
    <definedName name="_xlnm.Print_Area" localSheetId="43">'EN 02008'!$A$1:$N$37</definedName>
    <definedName name="_xlnm.Print_Area" localSheetId="44">'EN 02009'!$A$1:$N$22</definedName>
    <definedName name="_xlnm.Print_Area" localSheetId="46">'EN 03001'!$A$1:$N$39</definedName>
    <definedName name="_xlnm.Print_Area" localSheetId="47">'EN 03002'!$A$1:$N$44</definedName>
    <definedName name="_xlnm.Print_Area" localSheetId="48">'EN 03003'!$A$1:$N$20</definedName>
    <definedName name="_xlnm.Print_Area" localSheetId="49">'EN 03004'!$A$1:$N$35</definedName>
    <definedName name="_xlnm.Print_Area" localSheetId="50">'EN 03005'!$A$1:$N$42</definedName>
    <definedName name="_xlnm.Print_Area" localSheetId="51">'EN 03006'!$A$1:$N$26</definedName>
    <definedName name="_xlnm.Print_Area" localSheetId="52">'EN 03007'!$A$1:$N$17</definedName>
    <definedName name="_xlnm.Print_Area" localSheetId="53">'EN 03008'!$A$1:$N$15</definedName>
    <definedName name="_xlnm.Print_Area" localSheetId="55">'EN 04001'!$A$1:$N$27</definedName>
    <definedName name="_xlnm.Print_Area" localSheetId="56">'EN 04002'!$A$1:$N$40</definedName>
    <definedName name="_xlnm.Print_Area" localSheetId="57">'EN 04003'!$A$1:$N$40</definedName>
    <definedName name="_xlnm.Print_Area" localSheetId="58">'EN 04004'!$A$1:$N$43</definedName>
    <definedName name="_xlnm.Print_Area" localSheetId="61">'EN 05001'!$A$1:$N$30</definedName>
    <definedName name="_xlnm.Print_Area" localSheetId="62">'EN 05002'!$A$1:$N$49</definedName>
    <definedName name="_xlnm.Print_Area" localSheetId="63">'EN 05003'!$A$1:$N$25</definedName>
    <definedName name="_xlnm.Print_Area" localSheetId="64">'EN 05004'!$A$1:$N$39</definedName>
    <definedName name="_xlnm.Print_Area" localSheetId="65">'EN 05005'!$A$1:$N$16</definedName>
    <definedName name="_xlnm.Print_Area" localSheetId="66">'EN 05006'!$A$1:$N$50</definedName>
    <definedName name="_xlnm.Print_Area" localSheetId="67">'EN 05007'!$A$1:$N$18</definedName>
    <definedName name="_xlnm.Print_Area" localSheetId="68">'EN 05008'!$A$1:$N$16</definedName>
    <definedName name="_xlnm.Print_Area" localSheetId="69">'EN 05009'!$A$1:$N$16</definedName>
    <definedName name="_xlnm.Print_Area" localSheetId="72">'EN 06001'!$A$1:$N$17</definedName>
    <definedName name="_xlnm.Print_Area" localSheetId="73">'EN 06002'!$A$1:$N$18</definedName>
    <definedName name="_xlnm.Print_Area" localSheetId="74">'EN 06003'!$A$1:$N$18</definedName>
    <definedName name="_xlnm.Print_Area" localSheetId="75">'EN 06004'!$A$1:$N$18</definedName>
    <definedName name="_xlnm.Print_Area" localSheetId="76">'EN 06005'!$A$1:$N$18</definedName>
    <definedName name="_xlnm.Print_Area" localSheetId="77">'EN 06006'!$A$1:$N$16</definedName>
    <definedName name="_xlnm.Print_Area" localSheetId="78">'EN 06007'!$A$1:$N$22</definedName>
    <definedName name="_xlnm.Print_Area" localSheetId="79">'EN 06008'!$A$1:$N$16</definedName>
    <definedName name="_xlnm.Print_Area" localSheetId="80">'EN 06009'!$A$1:$N$16</definedName>
    <definedName name="_xlnm.Print_Area" localSheetId="81">'EN 06010'!$A$1:$N$17</definedName>
    <definedName name="_xlnm.Print_Area" localSheetId="82">'EN 06011'!$A$1:$N$17</definedName>
    <definedName name="_xlnm.Print_Area" localSheetId="83">'EN 06012'!$A$1:$N$15</definedName>
    <definedName name="_xlnm.Print_Area" localSheetId="84">'EN 06013'!$A$1:$N$17</definedName>
    <definedName name="_xlnm.Print_Area" localSheetId="89">'EN 08001'!$A$1:$N$25</definedName>
    <definedName name="_xlnm.Print_Area" localSheetId="90">'EN 08002'!$A$1:$O$44</definedName>
    <definedName name="_xlnm.Print_Area" localSheetId="25">'EN A0001'!$A$1:$N$61</definedName>
    <definedName name="_xlnm.Print_Area" localSheetId="35">#REF!</definedName>
    <definedName name="_xlnm.Print_Area" localSheetId="60">'EN A0005'!$A$1:$N$57</definedName>
    <definedName name="_xlnm.Print_Area" localSheetId="85">'EN A0007'!$A$1:$N$33</definedName>
    <definedName name="_xlnm.Print_Area" localSheetId="88">'EN A0008'!$A$1:$N$52</definedName>
    <definedName name="_xlnm.Print_Area" localSheetId="121">'FR 01001'!$A$1:$N$19</definedName>
    <definedName name="_xlnm.Print_Area" localSheetId="123">'FR 01003'!$A$1:$N$44</definedName>
    <definedName name="_xlnm.Print_Area" localSheetId="126">'FR 02002'!$A$1:$N$45</definedName>
    <definedName name="_xlnm.Print_Area" localSheetId="157">'FR 04022'!$A$1:$N$16</definedName>
    <definedName name="_xlnm.Print_Area" localSheetId="159">'FR 05001'!$A$1:$N$33</definedName>
    <definedName name="_xlnm.Print_Area" localSheetId="163">'FR 05005'!$A$1:$N$38</definedName>
    <definedName name="_xlnm.Print_Area" localSheetId="165">'FR 05007'!$A$1:$N$37</definedName>
    <definedName name="_xlnm.Print_Area" localSheetId="166">'FR 05008'!$A$1:$N$40</definedName>
    <definedName name="_xlnm.Print_Area" localSheetId="168">'FR 06001'!$A$1:$N$27</definedName>
    <definedName name="_xlnm.Print_Area" localSheetId="169">'FR 06002'!$A$1:$N$31</definedName>
    <definedName name="_xlnm.Print_Area" localSheetId="170">'FR 06003'!$A$1:$N$26</definedName>
    <definedName name="_xlnm.Print_Area" localSheetId="175">'FR 07004'!$A$1:$N$21</definedName>
    <definedName name="_xlnm.Print_Area" localSheetId="177">'FR 07006'!$A$1:$N$24</definedName>
    <definedName name="_xlnm.Print_Area" localSheetId="181">'FR 08001'!$A$1:$N$58</definedName>
    <definedName name="_xlnm.Print_Area" localSheetId="120">'FR A0001'!$A$1:$N$51</definedName>
    <definedName name="_xlnm.Print_Area" localSheetId="124">'FR A0002'!$A$1:$N$52</definedName>
    <definedName name="_xlnm.Print_Area" localSheetId="135">'FR A0004'!$A$1:$N$155</definedName>
    <definedName name="_xlnm.Print_Area" localSheetId="167">'FR A0006'!$A$1:$N$55</definedName>
    <definedName name="_xlnm.Print_Area" localSheetId="220">'MS 01001'!$A$1:$N$48</definedName>
    <definedName name="_xlnm.Print_Area" localSheetId="221">'MS 01002'!$A$1:$N$49</definedName>
    <definedName name="_xlnm.Print_Area" localSheetId="222">'MS 01003'!$A$1:$N$48</definedName>
    <definedName name="_xlnm.Print_Area" localSheetId="223">'MS 01004'!$A$1:$N$47</definedName>
    <definedName name="_xlnm.Print_Area" localSheetId="224">'MS 01005'!$A$1:$N$46</definedName>
    <definedName name="_xlnm.Print_Area" localSheetId="225">'MS 01006'!$A$1:$N$47</definedName>
    <definedName name="_xlnm.Print_Area" localSheetId="226">'MS 01007'!$A$1:$N$47</definedName>
    <definedName name="_xlnm.Print_Area" localSheetId="227">'MS 01008'!$A$1:$N$45</definedName>
    <definedName name="_xlnm.Print_Area" localSheetId="228">'MS 01009'!$A$1:$N$45</definedName>
    <definedName name="_xlnm.Print_Area" localSheetId="229">'MS 01010'!$A$1:$N$45</definedName>
    <definedName name="_xlnm.Print_Area" localSheetId="230">'MS 01011'!$A$1:$N$45</definedName>
    <definedName name="_xlnm.Print_Area" localSheetId="231">'MS 01012'!$A$1:$N$45</definedName>
    <definedName name="_xlnm.Print_Area" localSheetId="232">'MS 01013'!$A$1:$N$45</definedName>
    <definedName name="_xlnm.Print_Area" localSheetId="233">'MS 01014'!$A$1:$N$47</definedName>
    <definedName name="_xlnm.Print_Area" localSheetId="234">'MS 01015'!$A$1:$N$44</definedName>
    <definedName name="_xlnm.Print_Area" localSheetId="236">'MS 02001'!$A$1:$N$17</definedName>
    <definedName name="_xlnm.Print_Area" localSheetId="246">'MS 05001'!$A$1:$N$37</definedName>
    <definedName name="_xlnm.Print_Area" localSheetId="251">'MS 05006'!$A$1:$N$24</definedName>
    <definedName name="_xlnm.Print_Area" localSheetId="252">'MS 05007'!$A$1:$N$24</definedName>
    <definedName name="_xlnm.Print_Area" localSheetId="235">'MS A0002'!$A$1:$N$32</definedName>
    <definedName name="_xlnm.Print_Area" localSheetId="245">'MS A0005'!$A$1:$N$63</definedName>
    <definedName name="_xlnm.Print_Area" localSheetId="255">'ST 01001'!$A$1:$N$34</definedName>
    <definedName name="_xlnm.Print_Area" localSheetId="257">'ST 01003'!$A$1:$N$34</definedName>
    <definedName name="_xlnm.Print_Area" localSheetId="258">'ST 01004'!$A$1:$N$23</definedName>
    <definedName name="_xlnm.Print_Area" localSheetId="278">'ST 04004'!$A$1:$N$40</definedName>
    <definedName name="_xlnm.Print_Area" localSheetId="254">'ST A0001'!$A$1:$N$73</definedName>
    <definedName name="_xlnm.Print_Area" localSheetId="284">'SU 01001'!$A$1:$N$34</definedName>
    <definedName name="_xlnm.Print_Area" localSheetId="290">'SU 02001'!$A$1:$N$34</definedName>
    <definedName name="_xlnm.Print_Area" localSheetId="296">'SU 03001'!$A$1:$N$34</definedName>
    <definedName name="_xlnm.Print_Area" localSheetId="297">'SU 03002'!$A$1:$N$26</definedName>
    <definedName name="_xlnm.Print_Area" localSheetId="339">'SU 11001'!$A$1:$N$39</definedName>
    <definedName name="_xlnm.Print_Area" localSheetId="347">'SU 12001'!$A$1:$N$34</definedName>
    <definedName name="_xlnm.Print_Area" localSheetId="295">'SU A0003'!$A$1:$N$87</definedName>
    <definedName name="_xlnm.Print_Area" localSheetId="338">'SU A0011'!$A$1:$N$46</definedName>
    <definedName name="_xlnm.Print_Area" localSheetId="346">'SU A0012'!$A$1:$N$43</definedName>
    <definedName name="_xlnm.Print_Area" localSheetId="360">'WT 02001'!$A$1:$N$21</definedName>
    <definedName name="process" localSheetId="210">#REF!</definedName>
    <definedName name="process" localSheetId="213">#REF!</definedName>
    <definedName name="process" localSheetId="387">#REF!</definedName>
    <definedName name="Process" localSheetId="162">#REF!</definedName>
    <definedName name="process" localSheetId="119">#REF!</definedName>
    <definedName name="process" localSheetId="375">#REF!</definedName>
    <definedName name="process" localSheetId="381">#REF!</definedName>
    <definedName name="process">#REF!</definedName>
    <definedName name="Process_P1" localSheetId="368">'EN 01002'!#REF!</definedName>
    <definedName name="Process_P1" localSheetId="202">'EL 01001'!#REF!</definedName>
    <definedName name="Process_P1" localSheetId="203">'EL 01002'!#REF!</definedName>
    <definedName name="Process_P1" localSheetId="204">'EL 01003'!#REF!</definedName>
    <definedName name="Process_P1" localSheetId="206">'EL 02001'!#REF!</definedName>
    <definedName name="Process_P1" localSheetId="207">'EL 02002'!#REF!</definedName>
    <definedName name="Process_P1" localSheetId="208">'EL 02003'!#REF!</definedName>
    <definedName name="Process_P1" localSheetId="209">'EL 02004'!#REF!</definedName>
    <definedName name="Process_P1" localSheetId="210">'EL 02005'!#REF!</definedName>
    <definedName name="Process_P1" localSheetId="212">'EL 03001'!#REF!</definedName>
    <definedName name="Process_P1" localSheetId="213">'EL 03002'!#REF!</definedName>
    <definedName name="Process_P1" localSheetId="215">'EL 04001'!#REF!</definedName>
    <definedName name="Process_P1" localSheetId="216">'EL 04002'!#REF!</definedName>
    <definedName name="Process_P1" localSheetId="217">'EL 04003'!#REF!</definedName>
    <definedName name="Process_P1" localSheetId="26">'EN 01001'!#REF!</definedName>
    <definedName name="Process_P1" localSheetId="28">'EN 01003'!#REF!</definedName>
    <definedName name="Process_P1" localSheetId="29">'EN 01004'!#REF!</definedName>
    <definedName name="Process_P1" localSheetId="30">'EN 01005'!#REF!</definedName>
    <definedName name="Process_P1" localSheetId="31">'EN 01006'!#REF!</definedName>
    <definedName name="Process_P1" localSheetId="32">'EN 01007'!#REF!</definedName>
    <definedName name="Process_P1" localSheetId="33">'EN 01008'!#REF!</definedName>
    <definedName name="Process_P1" localSheetId="34">'EN 01009'!#REF!</definedName>
    <definedName name="Process_P1" localSheetId="36">'EN 02001'!#REF!</definedName>
    <definedName name="Process_P1" localSheetId="38">'EN 02003'!#REF!</definedName>
    <definedName name="Process_P1" localSheetId="39">'EN 02004'!#REF!</definedName>
    <definedName name="Process_P1" localSheetId="40">'EN 02005'!$B$85:$B$221</definedName>
    <definedName name="Process_P1" localSheetId="41">'EN 02006'!#REF!</definedName>
    <definedName name="Process_P1" localSheetId="42">'EN 02007'!#REF!</definedName>
    <definedName name="Process_P1" localSheetId="43">'EN 02008'!$B$69:$B$205</definedName>
    <definedName name="Process_P1" localSheetId="44">'EN 02009'!#REF!</definedName>
    <definedName name="Process_P1" localSheetId="46">'EN 03001'!#REF!</definedName>
    <definedName name="Process_P1" localSheetId="47">'EN 03002'!#REF!</definedName>
    <definedName name="Process_P1" localSheetId="48">'EN 03003'!#REF!</definedName>
    <definedName name="Process_P1" localSheetId="49">'EN 03004'!#REF!</definedName>
    <definedName name="Process_P1" localSheetId="50">'EN 03005'!#REF!</definedName>
    <definedName name="Process_P1" localSheetId="51">'EN 03006'!#REF!</definedName>
    <definedName name="Process_P1" localSheetId="52">'EN 03007'!#REF!</definedName>
    <definedName name="Process_P1" localSheetId="53">'EN 03008'!#REF!</definedName>
    <definedName name="Process_P1" localSheetId="55">'EN 04001'!#REF!</definedName>
    <definedName name="Process_P1" localSheetId="56">'EN 04002'!#REF!</definedName>
    <definedName name="Process_P1" localSheetId="57">'EN 04003'!#REF!</definedName>
    <definedName name="Process_P1" localSheetId="58">'EN 04004'!#REF!</definedName>
    <definedName name="Process_P1" localSheetId="59">'EN 04005'!#REF!</definedName>
    <definedName name="Process_P1" localSheetId="61">'EN 05001'!$B$85:$B$221</definedName>
    <definedName name="Process_P1" localSheetId="62">'EN 05002'!#REF!</definedName>
    <definedName name="Process_P1" localSheetId="63">'EN 05003'!#REF!</definedName>
    <definedName name="Process_P1" localSheetId="64">'EN 05004'!#REF!</definedName>
    <definedName name="Process_P1" localSheetId="65">'EN 05005'!#REF!</definedName>
    <definedName name="Process_P1" localSheetId="66">'EN 05006'!#REF!</definedName>
    <definedName name="Process_P1" localSheetId="67">'EN 05007'!#REF!</definedName>
    <definedName name="Process_P1" localSheetId="68">'EN 05008'!$B$69:$B$205</definedName>
    <definedName name="Process_P1" localSheetId="69">'EN 05009'!$B$69:$B$205</definedName>
    <definedName name="Process_P1" localSheetId="72">'EN 06001'!$B$71:$B$207</definedName>
    <definedName name="Process_P1" localSheetId="73">'EN 06002'!$B$71:$B$207</definedName>
    <definedName name="Process_P1" localSheetId="74">'EN 06003'!$B$68:$B$204</definedName>
    <definedName name="Process_P1" localSheetId="75">'EN 06004'!$B$69:$B$205</definedName>
    <definedName name="Process_P1" localSheetId="76">'EN 06005'!$B$69:$B$205</definedName>
    <definedName name="Process_P1" localSheetId="77">'EN 06006'!$B$69:$B$205</definedName>
    <definedName name="Process_P1" localSheetId="78">'EN 06007'!$B$77:$B$213</definedName>
    <definedName name="Process_P1" localSheetId="79">'EN 06008'!$B$69:$B$205</definedName>
    <definedName name="Process_P1" localSheetId="80">'EN 06009'!$B$65:$B$201</definedName>
    <definedName name="Process_P1" localSheetId="81">'EN 06010'!$B$70:$B$206</definedName>
    <definedName name="Process_P1" localSheetId="82">'EN 06011'!$B$70:$B$206</definedName>
    <definedName name="Process_P1" localSheetId="83">'EN 06012'!$B$68:$B$204</definedName>
    <definedName name="Process_P1" localSheetId="84">'EN 06013'!$B$70:$B$206</definedName>
    <definedName name="Process_P1" localSheetId="90">'EN 08002'!$B$83:$B$219</definedName>
    <definedName name="Process_P1" localSheetId="91">'EN 08003'!$B$81:$B$217</definedName>
    <definedName name="Process_P1" localSheetId="387">'EN 01002'!#REF!</definedName>
    <definedName name="Process_P1" localSheetId="122">'FR 01002'!#REF!</definedName>
    <definedName name="Process_P1" localSheetId="123">'FR 01003'!#REF!</definedName>
    <definedName name="Process_P1" localSheetId="125">'FR 02001'!$B$81:$B$217</definedName>
    <definedName name="Process_P1" localSheetId="126">'FR 02002'!$B$72:$B$208</definedName>
    <definedName name="Process_P1" localSheetId="136">'FR 04001'!#REF!</definedName>
    <definedName name="Process_P1" localSheetId="137">'FR 04002'!#REF!</definedName>
    <definedName name="Process_P1" localSheetId="138">'FR 04003'!#REF!</definedName>
    <definedName name="Process_P1" localSheetId="139">'FR 04004'!#REF!</definedName>
    <definedName name="Process_P1" localSheetId="140">'FR 04005'!#REF!</definedName>
    <definedName name="Process_P1" localSheetId="141">'FR 04006'!#REF!</definedName>
    <definedName name="Process_P1" localSheetId="142">'FR 04007'!#REF!</definedName>
    <definedName name="Process_P1" localSheetId="144">'FR 04009'!#REF!</definedName>
    <definedName name="Process_P1" localSheetId="145">'FR 04010'!#REF!</definedName>
    <definedName name="Process_P1" localSheetId="146">'FR 04011'!#REF!</definedName>
    <definedName name="Process_P1" localSheetId="147">'FR 04012'!#REF!</definedName>
    <definedName name="Process_P1" localSheetId="148">'FR 04013'!#REF!</definedName>
    <definedName name="Process_P1" localSheetId="149">'FR 04014'!$B$75:$B$211</definedName>
    <definedName name="Process_P1" localSheetId="150">'FR 04015'!#REF!</definedName>
    <definedName name="Process_P1" localSheetId="151">'FR 04016'!#REF!</definedName>
    <definedName name="Process_P1" localSheetId="152">'FR 04017'!#REF!</definedName>
    <definedName name="Process_P1" localSheetId="153">'FR 04018'!#REF!</definedName>
    <definedName name="Process_P1" localSheetId="154">'FR 04019'!$B$72:$B$208</definedName>
    <definedName name="Process_P1" localSheetId="155">'FR 04020'!#REF!</definedName>
    <definedName name="Process_P1" localSheetId="156">'FR 04021'!#REF!</definedName>
    <definedName name="Process_P1" localSheetId="157">'FR 04022'!#REF!</definedName>
    <definedName name="Process_P1" localSheetId="160">'FR 05002'!$B$75:$B$211</definedName>
    <definedName name="Process_P1" localSheetId="161">'FR 05003'!$B$65:$B$201</definedName>
    <definedName name="Process_P1" localSheetId="162">'FR 05004'!$B$65:$B$201</definedName>
    <definedName name="Process_P1" localSheetId="163">'FR 05005'!$B$76:$B$212</definedName>
    <definedName name="Process_P1" localSheetId="164">'FR 05006'!$B$76:$B$212</definedName>
    <definedName name="Process_P1" localSheetId="165">'FR 05007'!$B$72:$B$208</definedName>
    <definedName name="Process_P1" localSheetId="166">'FR 05008'!$B$69:$B$205</definedName>
    <definedName name="Process_P1" localSheetId="169">'FR 06002'!$B$69:$B$205</definedName>
    <definedName name="Process_P1" localSheetId="170">'FR 06003'!$B$64:$B$200</definedName>
    <definedName name="Process_P1" localSheetId="185">'FR 08001'!#REF!</definedName>
    <definedName name="Process_P1" localSheetId="186">'FR 08001'!#REF!</definedName>
    <definedName name="Process_P1" localSheetId="199">'FR 08001'!#REF!</definedName>
    <definedName name="Process_P1" localSheetId="119">'EN 01002'!#REF!</definedName>
    <definedName name="Process_P1" localSheetId="372">'EN 01002'!#REF!</definedName>
    <definedName name="Process_P1" localSheetId="375">'EN 01002'!#REF!</definedName>
    <definedName name="Process_P1" localSheetId="221">'MS 01002'!$B$67:$B$203</definedName>
    <definedName name="Process_P1" localSheetId="222">'MS 01003'!$B$70:$B$206</definedName>
    <definedName name="Process_P1" localSheetId="223">'MS 01004'!$B$71:$B$207</definedName>
    <definedName name="Process_P1" localSheetId="224">'MS 01005'!$B$70:$B$206</definedName>
    <definedName name="Process_P1" localSheetId="225">'MS 01006'!$B$71:$B$207</definedName>
    <definedName name="Process_P1" localSheetId="226">'MS 01007'!$B$69:$B$205</definedName>
    <definedName name="Process_P1" localSheetId="227">'MS 01008'!$B$68:$B$204</definedName>
    <definedName name="Process_P1" localSheetId="228">'MS 01009'!$B$68:$B$204</definedName>
    <definedName name="Process_P1" localSheetId="229">'MS 01010'!$B$68:$B$204</definedName>
    <definedName name="Process_P1" localSheetId="230">'MS 01011'!$B$68:$B$204</definedName>
    <definedName name="Process_P1" localSheetId="231">'MS 01012'!$B$68:$B$204</definedName>
    <definedName name="Process_P1" localSheetId="232">'MS 01013'!$B$68:$B$204</definedName>
    <definedName name="Process_P1" localSheetId="233">'MS 01014'!$B$68:$B$204</definedName>
    <definedName name="Process_P1" localSheetId="234">'MS 01015'!$B$69:$B$205</definedName>
    <definedName name="Process_P1" localSheetId="236">'MS 02001'!$B$72:$B$208</definedName>
    <definedName name="Process_P1" localSheetId="239">'MS 03002'!#REF!</definedName>
    <definedName name="Process_P1" localSheetId="240">'MS 03003'!#REF!</definedName>
    <definedName name="Process_P1" localSheetId="241">'MS 03004'!#REF!</definedName>
    <definedName name="Process_P1" localSheetId="242">'MS 03005'!#REF!</definedName>
    <definedName name="Process_P1" localSheetId="247">'MS 05002'!#REF!</definedName>
    <definedName name="Process_P1" localSheetId="248">'MS 05003'!#REF!</definedName>
    <definedName name="Process_P1" localSheetId="249">'MS 05004'!#REF!</definedName>
    <definedName name="Process_P1" localSheetId="250">'MS 05005'!#REF!</definedName>
    <definedName name="Process_P1" localSheetId="251">'MS 05006'!#REF!</definedName>
    <definedName name="Process_P1" localSheetId="252">'MS 05007'!#REF!</definedName>
    <definedName name="Process_P1" localSheetId="381">'EN 01002'!#REF!</definedName>
    <definedName name="Process_P1" localSheetId="297">'SU 03002'!$B$64:$B$200</definedName>
    <definedName name="Process_P1" localSheetId="304">'SU 04002'!$B$62:$B$198</definedName>
    <definedName name="Process_P1">'EN 01002'!#REF!</definedName>
    <definedName name="Processes" localSheetId="368">#REF!</definedName>
    <definedName name="Processes" localSheetId="202">#REF!</definedName>
    <definedName name="Processes" localSheetId="203">#REF!</definedName>
    <definedName name="Processes" localSheetId="204">#REF!</definedName>
    <definedName name="Processes" localSheetId="206">#REF!</definedName>
    <definedName name="Processes" localSheetId="207">#REF!</definedName>
    <definedName name="Processes" localSheetId="208">#REF!</definedName>
    <definedName name="Processes" localSheetId="209">#REF!</definedName>
    <definedName name="Processes" localSheetId="210">#REF!</definedName>
    <definedName name="Processes" localSheetId="212">#REF!</definedName>
    <definedName name="Processes" localSheetId="213">#REF!</definedName>
    <definedName name="Processes" localSheetId="215">#REF!</definedName>
    <definedName name="Processes" localSheetId="216">#REF!</definedName>
    <definedName name="Processes" localSheetId="217">#REF!</definedName>
    <definedName name="Processes" localSheetId="26">#REF!</definedName>
    <definedName name="Processes" localSheetId="28">#REF!</definedName>
    <definedName name="Processes" localSheetId="29">#REF!</definedName>
    <definedName name="Processes" localSheetId="30">#REF!</definedName>
    <definedName name="Processes" localSheetId="31">#REF!</definedName>
    <definedName name="Processes" localSheetId="32">#REF!</definedName>
    <definedName name="Processes" localSheetId="33">#REF!</definedName>
    <definedName name="Processes" localSheetId="34">#REF!</definedName>
    <definedName name="Processes" localSheetId="36">#REF!</definedName>
    <definedName name="Processes" localSheetId="38">#REF!</definedName>
    <definedName name="Processes" localSheetId="39">#REF!</definedName>
    <definedName name="Processes" localSheetId="40">#REF!</definedName>
    <definedName name="Processes" localSheetId="41">#REF!</definedName>
    <definedName name="Processes" localSheetId="42">#REF!</definedName>
    <definedName name="Processes" localSheetId="43">#REF!</definedName>
    <definedName name="Processes" localSheetId="44">#REF!</definedName>
    <definedName name="Processes" localSheetId="46">#REF!</definedName>
    <definedName name="Processes" localSheetId="47">#REF!</definedName>
    <definedName name="Processes" localSheetId="48">#REF!</definedName>
    <definedName name="Processes" localSheetId="49">#REF!</definedName>
    <definedName name="Processes" localSheetId="50">#REF!</definedName>
    <definedName name="Processes" localSheetId="51">#REF!</definedName>
    <definedName name="Processes" localSheetId="52">#REF!</definedName>
    <definedName name="Processes" localSheetId="53">#REF!</definedName>
    <definedName name="Processes" localSheetId="55">#REF!</definedName>
    <definedName name="Processes" localSheetId="56">#REF!</definedName>
    <definedName name="Processes" localSheetId="57">#REF!</definedName>
    <definedName name="Processes" localSheetId="58">#REF!</definedName>
    <definedName name="Processes" localSheetId="59">#REF!</definedName>
    <definedName name="Processes" localSheetId="61">#REF!</definedName>
    <definedName name="Processes" localSheetId="62">#REF!</definedName>
    <definedName name="Processes" localSheetId="63">#REF!</definedName>
    <definedName name="Processes" localSheetId="64">#REF!</definedName>
    <definedName name="Processes" localSheetId="65">#REF!</definedName>
    <definedName name="Processes" localSheetId="66">#REF!</definedName>
    <definedName name="Processes" localSheetId="67">#REF!</definedName>
    <definedName name="Processes" localSheetId="68">#REF!</definedName>
    <definedName name="Processes" localSheetId="69">#REF!</definedName>
    <definedName name="Processes" localSheetId="72">#REF!</definedName>
    <definedName name="Processes" localSheetId="73">#REF!</definedName>
    <definedName name="Processes" localSheetId="74">#REF!</definedName>
    <definedName name="Processes" localSheetId="75">#REF!</definedName>
    <definedName name="Processes" localSheetId="76">#REF!</definedName>
    <definedName name="Processes" localSheetId="77">#REF!</definedName>
    <definedName name="Processes" localSheetId="78">#REF!</definedName>
    <definedName name="Processes" localSheetId="79">#REF!</definedName>
    <definedName name="Processes" localSheetId="80">#REF!</definedName>
    <definedName name="Processes" localSheetId="81">#REF!</definedName>
    <definedName name="Processes" localSheetId="82">#REF!</definedName>
    <definedName name="Processes" localSheetId="83">#REF!</definedName>
    <definedName name="Processes" localSheetId="84">#REF!</definedName>
    <definedName name="Processes" localSheetId="90">#REF!</definedName>
    <definedName name="Processes" localSheetId="91">#REF!</definedName>
    <definedName name="Processes" localSheetId="387">#REF!</definedName>
    <definedName name="Processes" localSheetId="122">#REF!</definedName>
    <definedName name="Processes" localSheetId="123">#REF!</definedName>
    <definedName name="Processes" localSheetId="125">#REF!</definedName>
    <definedName name="Processes" localSheetId="126">#REF!</definedName>
    <definedName name="Processes" localSheetId="136">#REF!</definedName>
    <definedName name="Processes" localSheetId="137">#REF!</definedName>
    <definedName name="Processes" localSheetId="138">#REF!</definedName>
    <definedName name="Processes" localSheetId="139">#REF!</definedName>
    <definedName name="Processes" localSheetId="140">#REF!</definedName>
    <definedName name="Processes" localSheetId="141">#REF!</definedName>
    <definedName name="Processes" localSheetId="142">#REF!</definedName>
    <definedName name="Processes" localSheetId="144">#REF!</definedName>
    <definedName name="Processes" localSheetId="145">#REF!</definedName>
    <definedName name="Processes" localSheetId="146">#REF!</definedName>
    <definedName name="Processes" localSheetId="147">#REF!</definedName>
    <definedName name="Processes" localSheetId="148">#REF!</definedName>
    <definedName name="Processes" localSheetId="149">#REF!</definedName>
    <definedName name="Processes" localSheetId="150">#REF!</definedName>
    <definedName name="Processes" localSheetId="151">#REF!</definedName>
    <definedName name="Processes" localSheetId="152">#REF!</definedName>
    <definedName name="Processes" localSheetId="153">#REF!</definedName>
    <definedName name="Processes" localSheetId="154">#REF!</definedName>
    <definedName name="Processes" localSheetId="155">#REF!</definedName>
    <definedName name="Processes" localSheetId="156">#REF!</definedName>
    <definedName name="Processes" localSheetId="157">#REF!</definedName>
    <definedName name="Processes" localSheetId="160">#REF!</definedName>
    <definedName name="Processes" localSheetId="161">#REF!</definedName>
    <definedName name="Processes" localSheetId="162">#REF!</definedName>
    <definedName name="Processes" localSheetId="163">#REF!</definedName>
    <definedName name="Processes" localSheetId="164">#REF!</definedName>
    <definedName name="Processes" localSheetId="165">#REF!</definedName>
    <definedName name="Processes" localSheetId="166">#REF!</definedName>
    <definedName name="Processes" localSheetId="169">#REF!</definedName>
    <definedName name="Processes" localSheetId="170">#REF!</definedName>
    <definedName name="Processes" localSheetId="183">#REF!</definedName>
    <definedName name="Processes" localSheetId="184">#REF!</definedName>
    <definedName name="Processes" localSheetId="185">#REF!</definedName>
    <definedName name="Processes" localSheetId="186">#REF!</definedName>
    <definedName name="Processes" localSheetId="187">#REF!</definedName>
    <definedName name="Processes" localSheetId="188">#REF!</definedName>
    <definedName name="Processes" localSheetId="189">#REF!</definedName>
    <definedName name="Processes" localSheetId="190">#REF!</definedName>
    <definedName name="Processes" localSheetId="191">#REF!</definedName>
    <definedName name="Processes" localSheetId="192">#REF!</definedName>
    <definedName name="Processes" localSheetId="193">#REF!</definedName>
    <definedName name="Processes" localSheetId="194">#REF!</definedName>
    <definedName name="Processes" localSheetId="195">#REF!</definedName>
    <definedName name="Processes" localSheetId="196">#REF!</definedName>
    <definedName name="Processes" localSheetId="197">#REF!</definedName>
    <definedName name="Processes" localSheetId="198">#REF!</definedName>
    <definedName name="Processes" localSheetId="199">#REF!</definedName>
    <definedName name="Processes" localSheetId="119">#REF!</definedName>
    <definedName name="Processes" localSheetId="372">#REF!</definedName>
    <definedName name="Processes" localSheetId="375">#REF!</definedName>
    <definedName name="Processes" localSheetId="221">#REF!</definedName>
    <definedName name="Processes" localSheetId="222">#REF!</definedName>
    <definedName name="Processes" localSheetId="223">#REF!</definedName>
    <definedName name="Processes" localSheetId="224">#REF!</definedName>
    <definedName name="Processes" localSheetId="225">#REF!</definedName>
    <definedName name="Processes" localSheetId="226">#REF!</definedName>
    <definedName name="Processes" localSheetId="227">#REF!</definedName>
    <definedName name="Processes" localSheetId="228">#REF!</definedName>
    <definedName name="Processes" localSheetId="229">#REF!</definedName>
    <definedName name="Processes" localSheetId="230">#REF!</definedName>
    <definedName name="Processes" localSheetId="231">#REF!</definedName>
    <definedName name="Processes" localSheetId="232">#REF!</definedName>
    <definedName name="Processes" localSheetId="233">#REF!</definedName>
    <definedName name="Processes" localSheetId="234">#REF!</definedName>
    <definedName name="Processes" localSheetId="236">#REF!</definedName>
    <definedName name="Processes" localSheetId="239">#REF!</definedName>
    <definedName name="Processes" localSheetId="240">#REF!</definedName>
    <definedName name="Processes" localSheetId="241">#REF!</definedName>
    <definedName name="Processes" localSheetId="242">#REF!</definedName>
    <definedName name="Processes" localSheetId="247">#REF!</definedName>
    <definedName name="Processes" localSheetId="248">#REF!</definedName>
    <definedName name="Processes" localSheetId="249">#REF!</definedName>
    <definedName name="Processes" localSheetId="250">#REF!</definedName>
    <definedName name="Processes" localSheetId="251">#REF!</definedName>
    <definedName name="Processes" localSheetId="252">#REF!</definedName>
    <definedName name="Processes" localSheetId="381">#REF!</definedName>
    <definedName name="Processes" localSheetId="255">#REF!</definedName>
    <definedName name="Processes" localSheetId="256">#REF!</definedName>
    <definedName name="Processes" localSheetId="257">#REF!</definedName>
    <definedName name="Processes" localSheetId="258">#REF!</definedName>
    <definedName name="Processes" localSheetId="259">#REF!</definedName>
    <definedName name="Processes" localSheetId="260">#REF!</definedName>
    <definedName name="Processes" localSheetId="261">#REF!</definedName>
    <definedName name="Processes" localSheetId="270">#REF!</definedName>
    <definedName name="Processes" localSheetId="271">#REF!</definedName>
    <definedName name="Processes" localSheetId="272">#REF!</definedName>
    <definedName name="Processes" localSheetId="275">#REF!</definedName>
    <definedName name="Processes" localSheetId="278">#REF!</definedName>
    <definedName name="Processes" localSheetId="279">#REF!</definedName>
    <definedName name="Processes" localSheetId="280">#REF!</definedName>
    <definedName name="Processes" localSheetId="265">#REF!</definedName>
    <definedName name="Processes" localSheetId="286">#REF!</definedName>
    <definedName name="Processes" localSheetId="292">#REF!</definedName>
    <definedName name="Processes" localSheetId="297">#REF!</definedName>
    <definedName name="Processes" localSheetId="299">#REF!</definedName>
    <definedName name="Processes" localSheetId="304">#REF!</definedName>
    <definedName name="Processes" localSheetId="306">#REF!</definedName>
    <definedName name="Processes" localSheetId="308">#REF!</definedName>
    <definedName name="Processes" localSheetId="309">#REF!</definedName>
    <definedName name="Processes" localSheetId="344">#REF!</definedName>
    <definedName name="Processes" localSheetId="350">#REF!</definedName>
    <definedName name="Processes" localSheetId="351">#REF!</definedName>
    <definedName name="Processes" localSheetId="362">#REF!</definedName>
    <definedName name="Processes">#REF!</definedName>
    <definedName name="qsfdc" localSheetId="368">#REF!</definedName>
    <definedName name="qsfdc" localSheetId="210">#REF!</definedName>
    <definedName name="qsfdc" localSheetId="213">#REF!</definedName>
    <definedName name="qsfdc" localSheetId="387">#REF!</definedName>
    <definedName name="qsfdc" localSheetId="119">#REF!</definedName>
    <definedName name="qsfdc" localSheetId="372">#REF!</definedName>
    <definedName name="qsfdc" localSheetId="375">#REF!</definedName>
    <definedName name="qsfdc" localSheetId="381">#REF!</definedName>
    <definedName name="qsfdc">#REF!</definedName>
    <definedName name="rfcdx" localSheetId="368">#REF!</definedName>
    <definedName name="rfcdx" localSheetId="210">#REF!</definedName>
    <definedName name="rfcdx" localSheetId="213">#REF!</definedName>
    <definedName name="rfcdx" localSheetId="28">#REF!</definedName>
    <definedName name="rfcdx" localSheetId="29">#REF!</definedName>
    <definedName name="rfcdx" localSheetId="31">#REF!</definedName>
    <definedName name="rfcdx" localSheetId="33">#REF!</definedName>
    <definedName name="rfcdx" localSheetId="34">#REF!</definedName>
    <definedName name="rfcdx" localSheetId="387">#REF!</definedName>
    <definedName name="rfcdx" localSheetId="119">#REF!</definedName>
    <definedName name="rfcdx" localSheetId="372">#REF!</definedName>
    <definedName name="rfcdx" localSheetId="375">#REF!</definedName>
    <definedName name="rfcdx" localSheetId="381">#REF!</definedName>
    <definedName name="rfcdx">#REF!</definedName>
    <definedName name="rfds" localSheetId="368">#REF!</definedName>
    <definedName name="rfds" localSheetId="210">#REF!</definedName>
    <definedName name="rfds" localSheetId="213">#REF!</definedName>
    <definedName name="rfds" localSheetId="28">#REF!</definedName>
    <definedName name="rfds" localSheetId="31">#REF!</definedName>
    <definedName name="rfds" localSheetId="33">#REF!</definedName>
    <definedName name="rfds" localSheetId="34">#REF!</definedName>
    <definedName name="rfds" localSheetId="387">#REF!</definedName>
    <definedName name="rfds" localSheetId="119">#REF!</definedName>
    <definedName name="rfds" localSheetId="372">#REF!</definedName>
    <definedName name="rfds" localSheetId="375">#REF!</definedName>
    <definedName name="rfds" localSheetId="381">#REF!</definedName>
    <definedName name="rfds">#REF!</definedName>
    <definedName name="rtfed" localSheetId="368">#REF!</definedName>
    <definedName name="rtfed" localSheetId="210">#REF!</definedName>
    <definedName name="rtfed" localSheetId="213">#REF!</definedName>
    <definedName name="rtfed" localSheetId="31">#REF!</definedName>
    <definedName name="rtfed" localSheetId="33">#REF!</definedName>
    <definedName name="rtfed" localSheetId="34">#REF!</definedName>
    <definedName name="rtfed" localSheetId="387">#REF!</definedName>
    <definedName name="rtfed" localSheetId="119">#REF!</definedName>
    <definedName name="rtfed" localSheetId="372">#REF!</definedName>
    <definedName name="rtfed" localSheetId="375">#REF!</definedName>
    <definedName name="rtfed" localSheetId="381">#REF!</definedName>
    <definedName name="rtfed">#REF!</definedName>
    <definedName name="sdf" localSheetId="368">#REF!</definedName>
    <definedName name="sdf" localSheetId="210">#REF!</definedName>
    <definedName name="sdf" localSheetId="213">#REF!</definedName>
    <definedName name="sdf" localSheetId="33">#REF!</definedName>
    <definedName name="sdf" localSheetId="34">#REF!</definedName>
    <definedName name="sdf" localSheetId="387">#REF!</definedName>
    <definedName name="sdf" localSheetId="119">#REF!</definedName>
    <definedName name="sdf" localSheetId="372">#REF!</definedName>
    <definedName name="sdf" localSheetId="375">#REF!</definedName>
    <definedName name="sdf" localSheetId="381">#REF!</definedName>
    <definedName name="sdf">#REF!</definedName>
    <definedName name="tgfrd" localSheetId="368">#REF!</definedName>
    <definedName name="tgfrd" localSheetId="210">#REF!</definedName>
    <definedName name="tgfrd" localSheetId="213">#REF!</definedName>
    <definedName name="tgfrd" localSheetId="387">#REF!</definedName>
    <definedName name="tgfrd" localSheetId="119">#REF!</definedName>
    <definedName name="tgfrd" localSheetId="372">#REF!</definedName>
    <definedName name="tgfrd" localSheetId="375">#REF!</definedName>
    <definedName name="tgfrd" localSheetId="381">#REF!</definedName>
    <definedName name="tgfrd">#REF!</definedName>
    <definedName name="tgrc" localSheetId="210">#REF!</definedName>
    <definedName name="tgrc" localSheetId="213">#REF!</definedName>
    <definedName name="tgrc" localSheetId="387">#REF!</definedName>
    <definedName name="tgrc" localSheetId="119">#REF!</definedName>
    <definedName name="tgrc" localSheetId="372">#REF!</definedName>
    <definedName name="tgrc" localSheetId="375">#REF!</definedName>
    <definedName name="tgrc" localSheetId="381">#REF!</definedName>
    <definedName name="tgrc">#REF!</definedName>
    <definedName name="tgrf" localSheetId="210">#REF!</definedName>
    <definedName name="tgrf" localSheetId="213">#REF!</definedName>
    <definedName name="tgrf" localSheetId="387">#REF!</definedName>
    <definedName name="tgrf" localSheetId="119">#REF!</definedName>
    <definedName name="tgrf" localSheetId="372">#REF!</definedName>
    <definedName name="tgrf" localSheetId="375">#REF!</definedName>
    <definedName name="tgrf" localSheetId="381">#REF!</definedName>
    <definedName name="tgrf">#REF!</definedName>
    <definedName name="tgrfcd" localSheetId="368">#REF!</definedName>
    <definedName name="tgrfcd" localSheetId="210">#REF!</definedName>
    <definedName name="tgrfcd" localSheetId="213">#REF!</definedName>
    <definedName name="tgrfcd" localSheetId="31">#REF!</definedName>
    <definedName name="tgrfcd" localSheetId="33">#REF!</definedName>
    <definedName name="tgrfcd" localSheetId="34">#REF!</definedName>
    <definedName name="tgrfcd" localSheetId="387">#REF!</definedName>
    <definedName name="tgrfcd" localSheetId="119">#REF!</definedName>
    <definedName name="tgrfcd" localSheetId="372">#REF!</definedName>
    <definedName name="tgrfcd" localSheetId="375">#REF!</definedName>
    <definedName name="tgrfcd" localSheetId="381">#REF!</definedName>
    <definedName name="tgrfcd">#REF!</definedName>
    <definedName name="tgvrfcd" localSheetId="210">#REF!</definedName>
    <definedName name="tgvrfcd" localSheetId="213">#REF!</definedName>
    <definedName name="tgvrfcd" localSheetId="387">#REF!</definedName>
    <definedName name="tgvrfcd" localSheetId="119">#REF!</definedName>
    <definedName name="tgvrfcd" localSheetId="372">#REF!</definedName>
    <definedName name="tgvrfcd" localSheetId="375">#REF!</definedName>
    <definedName name="tgvrfcd" localSheetId="381">#REF!</definedName>
    <definedName name="tgvrfcd">#REF!</definedName>
    <definedName name="trfcd" localSheetId="210">#REF!</definedName>
    <definedName name="trfcd" localSheetId="213">#REF!</definedName>
    <definedName name="trfcd" localSheetId="387">#REF!</definedName>
    <definedName name="trfcd" localSheetId="119">#REF!</definedName>
    <definedName name="trfcd" localSheetId="372">#REF!</definedName>
    <definedName name="trfcd" localSheetId="375">#REF!</definedName>
    <definedName name="trfcd" localSheetId="381">#REF!</definedName>
    <definedName name="trfcd">#REF!</definedName>
    <definedName name="trfds" localSheetId="210">#REF!</definedName>
    <definedName name="trfds" localSheetId="213">#REF!</definedName>
    <definedName name="trfds" localSheetId="387">#REF!</definedName>
    <definedName name="trfds" localSheetId="119">#REF!</definedName>
    <definedName name="trfds" localSheetId="372">#REF!</definedName>
    <definedName name="trfds" localSheetId="375">#REF!</definedName>
    <definedName name="trfds" localSheetId="381">#REF!</definedName>
    <definedName name="trfds">#REF!</definedName>
    <definedName name="trhzjyeuk" localSheetId="368">#REF!</definedName>
    <definedName name="trhzjyeuk" localSheetId="210">#REF!</definedName>
    <definedName name="trhzjyeuk" localSheetId="213">#REF!</definedName>
    <definedName name="trhzjyeuk" localSheetId="387">#REF!</definedName>
    <definedName name="trhzjyeuk" localSheetId="119">#REF!</definedName>
    <definedName name="trhzjyeuk" localSheetId="372">#REF!</definedName>
    <definedName name="trhzjyeuk" localSheetId="375">#REF!</definedName>
    <definedName name="trhzjyeuk" localSheetId="381">#REF!</definedName>
    <definedName name="trhzjyeuk">#REF!</definedName>
    <definedName name="ujyhbgvf" localSheetId="210">#REF!</definedName>
    <definedName name="ujyhbgvf" localSheetId="213">#REF!</definedName>
    <definedName name="ujyhbgvf" localSheetId="387">#REF!</definedName>
    <definedName name="ujyhbgvf" localSheetId="119">#REF!</definedName>
    <definedName name="ujyhbgvf" localSheetId="372">#REF!</definedName>
    <definedName name="ujyhbgvf" localSheetId="375">#REF!</definedName>
    <definedName name="ujyhbgvf" localSheetId="381">#REF!</definedName>
    <definedName name="ujyhbgvf">#REF!</definedName>
    <definedName name="Uni" localSheetId="368">#REF!</definedName>
    <definedName name="Uni" localSheetId="202">#REF!</definedName>
    <definedName name="Uni" localSheetId="203">#REF!</definedName>
    <definedName name="Uni" localSheetId="204">#REF!</definedName>
    <definedName name="Uni" localSheetId="206">#REF!</definedName>
    <definedName name="Uni" localSheetId="207">#REF!</definedName>
    <definedName name="Uni" localSheetId="208">#REF!</definedName>
    <definedName name="Uni" localSheetId="209">#REF!</definedName>
    <definedName name="Uni" localSheetId="210">#REF!</definedName>
    <definedName name="Uni" localSheetId="212">#REF!</definedName>
    <definedName name="Uni" localSheetId="213">#REF!</definedName>
    <definedName name="Uni" localSheetId="215">#REF!</definedName>
    <definedName name="Uni" localSheetId="216">#REF!</definedName>
    <definedName name="Uni" localSheetId="217">#REF!</definedName>
    <definedName name="Uni" localSheetId="26">#REF!</definedName>
    <definedName name="Uni" localSheetId="28">#REF!</definedName>
    <definedName name="Uni" localSheetId="29">#REF!</definedName>
    <definedName name="Uni" localSheetId="30">#REF!</definedName>
    <definedName name="Uni" localSheetId="31">#REF!</definedName>
    <definedName name="Uni" localSheetId="32">#REF!</definedName>
    <definedName name="Uni" localSheetId="33">#REF!</definedName>
    <definedName name="Uni" localSheetId="34">#REF!</definedName>
    <definedName name="Uni" localSheetId="36">#REF!</definedName>
    <definedName name="Uni" localSheetId="38">#REF!</definedName>
    <definedName name="Uni" localSheetId="39">#REF!</definedName>
    <definedName name="Uni" localSheetId="40">#REF!</definedName>
    <definedName name="Uni" localSheetId="41">#REF!</definedName>
    <definedName name="Uni" localSheetId="42">#REF!</definedName>
    <definedName name="Uni" localSheetId="43">#REF!</definedName>
    <definedName name="Uni" localSheetId="44">#REF!</definedName>
    <definedName name="Uni" localSheetId="46">#REF!</definedName>
    <definedName name="Uni" localSheetId="47">#REF!</definedName>
    <definedName name="Uni" localSheetId="48">#REF!</definedName>
    <definedName name="Uni" localSheetId="49">#REF!</definedName>
    <definedName name="Uni" localSheetId="50">#REF!</definedName>
    <definedName name="Uni" localSheetId="51">#REF!</definedName>
    <definedName name="Uni" localSheetId="52">#REF!</definedName>
    <definedName name="Uni" localSheetId="53">#REF!</definedName>
    <definedName name="Uni" localSheetId="55">#REF!</definedName>
    <definedName name="Uni" localSheetId="56">#REF!</definedName>
    <definedName name="Uni" localSheetId="57">#REF!</definedName>
    <definedName name="Uni" localSheetId="58">#REF!</definedName>
    <definedName name="Uni" localSheetId="59">#REF!</definedName>
    <definedName name="Uni" localSheetId="61">#REF!</definedName>
    <definedName name="Uni" localSheetId="62">#REF!</definedName>
    <definedName name="Uni" localSheetId="63">#REF!</definedName>
    <definedName name="Uni" localSheetId="64">#REF!</definedName>
    <definedName name="Uni" localSheetId="65">#REF!</definedName>
    <definedName name="Uni" localSheetId="66">#REF!</definedName>
    <definedName name="Uni" localSheetId="67">#REF!</definedName>
    <definedName name="Uni" localSheetId="68">#REF!</definedName>
    <definedName name="Uni" localSheetId="69">#REF!</definedName>
    <definedName name="Uni" localSheetId="72">#REF!</definedName>
    <definedName name="Uni" localSheetId="73">#REF!</definedName>
    <definedName name="Uni" localSheetId="74">#REF!</definedName>
    <definedName name="Uni" localSheetId="75">#REF!</definedName>
    <definedName name="Uni" localSheetId="76">#REF!</definedName>
    <definedName name="Uni" localSheetId="77">#REF!</definedName>
    <definedName name="Uni" localSheetId="78">#REF!</definedName>
    <definedName name="Uni" localSheetId="79">#REF!</definedName>
    <definedName name="Uni" localSheetId="80">#REF!</definedName>
    <definedName name="Uni" localSheetId="81">#REF!</definedName>
    <definedName name="Uni" localSheetId="82">#REF!</definedName>
    <definedName name="Uni" localSheetId="83">#REF!</definedName>
    <definedName name="Uni" localSheetId="84">#REF!</definedName>
    <definedName name="Uni" localSheetId="90">#REF!</definedName>
    <definedName name="Uni" localSheetId="91">#REF!</definedName>
    <definedName name="Uni" localSheetId="387">#REF!</definedName>
    <definedName name="Uni" localSheetId="122">#REF!</definedName>
    <definedName name="Uni" localSheetId="123">#REF!</definedName>
    <definedName name="Uni" localSheetId="125">#REF!</definedName>
    <definedName name="Uni" localSheetId="126">#REF!</definedName>
    <definedName name="Uni" localSheetId="136">#REF!</definedName>
    <definedName name="Uni" localSheetId="137">#REF!</definedName>
    <definedName name="Uni" localSheetId="138">#REF!</definedName>
    <definedName name="Uni" localSheetId="139">#REF!</definedName>
    <definedName name="Uni" localSheetId="140">#REF!</definedName>
    <definedName name="Uni" localSheetId="141">#REF!</definedName>
    <definedName name="Uni" localSheetId="142">#REF!</definedName>
    <definedName name="Uni" localSheetId="144">#REF!</definedName>
    <definedName name="Uni" localSheetId="145">#REF!</definedName>
    <definedName name="Uni" localSheetId="146">#REF!</definedName>
    <definedName name="Uni" localSheetId="147">#REF!</definedName>
    <definedName name="Uni" localSheetId="148">#REF!</definedName>
    <definedName name="Uni" localSheetId="149">#REF!</definedName>
    <definedName name="Uni" localSheetId="150">#REF!</definedName>
    <definedName name="Uni" localSheetId="151">#REF!</definedName>
    <definedName name="Uni" localSheetId="152">#REF!</definedName>
    <definedName name="Uni" localSheetId="153">#REF!</definedName>
    <definedName name="Uni" localSheetId="154">#REF!</definedName>
    <definedName name="Uni" localSheetId="155">#REF!</definedName>
    <definedName name="Uni" localSheetId="156">#REF!</definedName>
    <definedName name="Uni" localSheetId="157">#REF!</definedName>
    <definedName name="Uni" localSheetId="160">#REF!</definedName>
    <definedName name="Uni" localSheetId="161">#REF!</definedName>
    <definedName name="Uni" localSheetId="162">#REF!</definedName>
    <definedName name="Uni" localSheetId="163">#REF!</definedName>
    <definedName name="Uni" localSheetId="164">#REF!</definedName>
    <definedName name="Uni" localSheetId="165">#REF!</definedName>
    <definedName name="Uni" localSheetId="166">#REF!</definedName>
    <definedName name="Uni" localSheetId="169">#REF!</definedName>
    <definedName name="Uni" localSheetId="170">#REF!</definedName>
    <definedName name="Uni" localSheetId="183">#REF!</definedName>
    <definedName name="Uni" localSheetId="184">#REF!</definedName>
    <definedName name="Uni" localSheetId="185">#REF!</definedName>
    <definedName name="Uni" localSheetId="186">#REF!</definedName>
    <definedName name="Uni" localSheetId="187">#REF!</definedName>
    <definedName name="Uni" localSheetId="188">#REF!</definedName>
    <definedName name="Uni" localSheetId="189">#REF!</definedName>
    <definedName name="Uni" localSheetId="190">#REF!</definedName>
    <definedName name="Uni" localSheetId="191">#REF!</definedName>
    <definedName name="Uni" localSheetId="192">#REF!</definedName>
    <definedName name="Uni" localSheetId="193">#REF!</definedName>
    <definedName name="Uni" localSheetId="194">#REF!</definedName>
    <definedName name="Uni" localSheetId="195">#REF!</definedName>
    <definedName name="Uni" localSheetId="196">#REF!</definedName>
    <definedName name="Uni" localSheetId="197">#REF!</definedName>
    <definedName name="Uni" localSheetId="198">#REF!</definedName>
    <definedName name="Uni" localSheetId="199">#REF!</definedName>
    <definedName name="Uni" localSheetId="119">#REF!</definedName>
    <definedName name="Uni" localSheetId="372">#REF!</definedName>
    <definedName name="Uni" localSheetId="375">#REF!</definedName>
    <definedName name="Uni" localSheetId="221">#REF!</definedName>
    <definedName name="Uni" localSheetId="222">#REF!</definedName>
    <definedName name="Uni" localSheetId="223">#REF!</definedName>
    <definedName name="Uni" localSheetId="224">#REF!</definedName>
    <definedName name="Uni" localSheetId="225">#REF!</definedName>
    <definedName name="Uni" localSheetId="226">#REF!</definedName>
    <definedName name="Uni" localSheetId="227">#REF!</definedName>
    <definedName name="Uni" localSheetId="228">#REF!</definedName>
    <definedName name="Uni" localSheetId="229">#REF!</definedName>
    <definedName name="Uni" localSheetId="230">#REF!</definedName>
    <definedName name="Uni" localSheetId="231">#REF!</definedName>
    <definedName name="Uni" localSheetId="232">#REF!</definedName>
    <definedName name="Uni" localSheetId="233">#REF!</definedName>
    <definedName name="Uni" localSheetId="234">#REF!</definedName>
    <definedName name="Uni" localSheetId="236">#REF!</definedName>
    <definedName name="Uni" localSheetId="239">#REF!</definedName>
    <definedName name="Uni" localSheetId="240">#REF!</definedName>
    <definedName name="Uni" localSheetId="241">#REF!</definedName>
    <definedName name="Uni" localSheetId="242">#REF!</definedName>
    <definedName name="Uni" localSheetId="247">#REF!</definedName>
    <definedName name="Uni" localSheetId="248">#REF!</definedName>
    <definedName name="Uni" localSheetId="249">#REF!</definedName>
    <definedName name="Uni" localSheetId="250">#REF!</definedName>
    <definedName name="Uni" localSheetId="251">#REF!</definedName>
    <definedName name="Uni" localSheetId="252">#REF!</definedName>
    <definedName name="Uni" localSheetId="381">#REF!</definedName>
    <definedName name="Uni" localSheetId="255">#REF!</definedName>
    <definedName name="Uni" localSheetId="256">#REF!</definedName>
    <definedName name="Uni" localSheetId="257">#REF!</definedName>
    <definedName name="Uni" localSheetId="258">#REF!</definedName>
    <definedName name="Uni" localSheetId="259">#REF!</definedName>
    <definedName name="Uni" localSheetId="260">#REF!</definedName>
    <definedName name="Uni" localSheetId="261">#REF!</definedName>
    <definedName name="Uni" localSheetId="270">#REF!</definedName>
    <definedName name="Uni" localSheetId="271">#REF!</definedName>
    <definedName name="Uni" localSheetId="272">#REF!</definedName>
    <definedName name="Uni" localSheetId="275">#REF!</definedName>
    <definedName name="Uni" localSheetId="278">#REF!</definedName>
    <definedName name="Uni" localSheetId="279">#REF!</definedName>
    <definedName name="Uni" localSheetId="280">#REF!</definedName>
    <definedName name="Uni" localSheetId="265">#REF!</definedName>
    <definedName name="Uni" localSheetId="286">#REF!</definedName>
    <definedName name="Uni" localSheetId="292">#REF!</definedName>
    <definedName name="Uni" localSheetId="297">#REF!</definedName>
    <definedName name="Uni" localSheetId="299">#REF!</definedName>
    <definedName name="Uni" localSheetId="304">#REF!</definedName>
    <definedName name="Uni" localSheetId="306">#REF!</definedName>
    <definedName name="Uni" localSheetId="308">#REF!</definedName>
    <definedName name="Uni" localSheetId="309">#REF!</definedName>
    <definedName name="Uni" localSheetId="344">#REF!</definedName>
    <definedName name="Uni" localSheetId="350">#REF!</definedName>
    <definedName name="Uni" localSheetId="351">#REF!</definedName>
    <definedName name="Uni" localSheetId="362">#REF!</definedName>
    <definedName name="Uni">#REF!</definedName>
    <definedName name="vfcd" localSheetId="368">#REF!</definedName>
    <definedName name="vfcd" localSheetId="210">#REF!</definedName>
    <definedName name="vfcd" localSheetId="213">#REF!</definedName>
    <definedName name="vfcd" localSheetId="40">#REF!</definedName>
    <definedName name="vfcd" localSheetId="50">#REF!</definedName>
    <definedName name="vfcd" localSheetId="53">#REF!</definedName>
    <definedName name="vfcd" localSheetId="387">#REF!</definedName>
    <definedName name="vfcd" localSheetId="119">#REF!</definedName>
    <definedName name="vfcd" localSheetId="372">#REF!</definedName>
    <definedName name="vfcd" localSheetId="375">#REF!</definedName>
    <definedName name="vfcd" localSheetId="381">#REF!</definedName>
    <definedName name="vfcd">#REF!</definedName>
    <definedName name="vfcdsx" localSheetId="368">#REF!</definedName>
    <definedName name="vfcdsx" localSheetId="210">#REF!</definedName>
    <definedName name="vfcdsx" localSheetId="213">#REF!</definedName>
    <definedName name="vfcdsx" localSheetId="387">#REF!</definedName>
    <definedName name="vfcdsx" localSheetId="119">#REF!</definedName>
    <definedName name="vfcdsx" localSheetId="372">#REF!</definedName>
    <definedName name="vfcdsx" localSheetId="375">#REF!</definedName>
    <definedName name="vfcdsx" localSheetId="381">#REF!</definedName>
    <definedName name="vfcdsx">#REF!</definedName>
    <definedName name="vfdcx" localSheetId="368">#REF!</definedName>
    <definedName name="vfdcx" localSheetId="210">#REF!</definedName>
    <definedName name="vfdcx" localSheetId="213">#REF!</definedName>
    <definedName name="vfdcx" localSheetId="387">#REF!</definedName>
    <definedName name="vfdcx" localSheetId="119">#REF!</definedName>
    <definedName name="vfdcx" localSheetId="372">#REF!</definedName>
    <definedName name="vfdcx" localSheetId="375">#REF!</definedName>
    <definedName name="vfdcx" localSheetId="381">#REF!</definedName>
    <definedName name="vfdcx">#REF!</definedName>
    <definedName name="vredcs" localSheetId="210">#REF!</definedName>
    <definedName name="vredcs" localSheetId="213">#REF!</definedName>
    <definedName name="vredcs" localSheetId="40">#REF!</definedName>
    <definedName name="vredcs" localSheetId="50">#REF!</definedName>
    <definedName name="vredcs" localSheetId="53">#REF!</definedName>
    <definedName name="vredcs" localSheetId="387">#REF!</definedName>
    <definedName name="vredcs" localSheetId="119">#REF!</definedName>
    <definedName name="vredcs" localSheetId="372">#REF!</definedName>
    <definedName name="vredcs" localSheetId="375">#REF!</definedName>
    <definedName name="vredcs" localSheetId="381">#REF!</definedName>
    <definedName name="vredcs">#REF!</definedName>
    <definedName name="yjhtrefz" localSheetId="210">#REF!</definedName>
    <definedName name="yjhtrefz" localSheetId="213">#REF!</definedName>
    <definedName name="yjhtrefz" localSheetId="387">#REF!</definedName>
    <definedName name="yjhtrefz" localSheetId="119">#REF!</definedName>
    <definedName name="yjhtrefz" localSheetId="372">#REF!</definedName>
    <definedName name="yjhtrefz" localSheetId="375">#REF!</definedName>
    <definedName name="yjhtrefz" localSheetId="381">#REF!</definedName>
    <definedName name="yjhtrefz">#REF!</definedName>
    <definedName name="zaed" localSheetId="368">#REF!</definedName>
    <definedName name="zaed" localSheetId="210">#REF!</definedName>
    <definedName name="zaed" localSheetId="213">#REF!</definedName>
    <definedName name="zaed" localSheetId="31">#REF!</definedName>
    <definedName name="zaed" localSheetId="33">#REF!</definedName>
    <definedName name="zaed" localSheetId="34">#REF!</definedName>
    <definedName name="zaed" localSheetId="387">#REF!</definedName>
    <definedName name="zaed" localSheetId="119">#REF!</definedName>
    <definedName name="zaed" localSheetId="372">#REF!</definedName>
    <definedName name="zaed" localSheetId="375">#REF!</definedName>
    <definedName name="zaed" localSheetId="381">#REF!</definedName>
    <definedName name="zaed">#REF!</definedName>
    <definedName name="zefds" localSheetId="368">#REF!</definedName>
    <definedName name="zefds" localSheetId="210">#REF!</definedName>
    <definedName name="zefds" localSheetId="213">#REF!</definedName>
    <definedName name="zefds" localSheetId="387">#REF!</definedName>
    <definedName name="zefds" localSheetId="119">#REF!</definedName>
    <definedName name="zefds" localSheetId="372">#REF!</definedName>
    <definedName name="zefds" localSheetId="375">#REF!</definedName>
    <definedName name="zefds" localSheetId="381">#REF!</definedName>
    <definedName name="zefds">#REF!</definedName>
    <definedName name="zefdsc" localSheetId="368">#REF!</definedName>
    <definedName name="zefdsc" localSheetId="210">#REF!</definedName>
    <definedName name="zefdsc" localSheetId="213">#REF!</definedName>
    <definedName name="zefdsc" localSheetId="387">#REF!</definedName>
    <definedName name="zefdsc" localSheetId="119">#REF!</definedName>
    <definedName name="zefdsc" localSheetId="372">#REF!</definedName>
    <definedName name="zefdsc" localSheetId="375">#REF!</definedName>
    <definedName name="zefdsc" localSheetId="381">#REF!</definedName>
    <definedName name="zefdsc">#REF!</definedName>
    <definedName name="zefdv" localSheetId="368">#REF!</definedName>
    <definedName name="zefdv" localSheetId="210">#REF!</definedName>
    <definedName name="zefdv" localSheetId="213">#REF!</definedName>
    <definedName name="zefdv" localSheetId="387">#REF!</definedName>
    <definedName name="zefdv" localSheetId="119">#REF!</definedName>
    <definedName name="zefdv" localSheetId="372">#REF!</definedName>
    <definedName name="zefdv" localSheetId="375">#REF!</definedName>
    <definedName name="zefdv" localSheetId="381">#REF!</definedName>
    <definedName name="zefdv">#REF!</definedName>
    <definedName name="zer" localSheetId="368">#REF!</definedName>
    <definedName name="zer" localSheetId="210">#REF!</definedName>
    <definedName name="zer" localSheetId="213">#REF!</definedName>
    <definedName name="zer" localSheetId="33">#REF!</definedName>
    <definedName name="zer" localSheetId="34">#REF!</definedName>
    <definedName name="zer" localSheetId="387">#REF!</definedName>
    <definedName name="zer" localSheetId="119">#REF!</definedName>
    <definedName name="zer" localSheetId="372">#REF!</definedName>
    <definedName name="zer" localSheetId="375">#REF!</definedName>
    <definedName name="zer" localSheetId="381">#REF!</definedName>
    <definedName name="zer">#REF!</definedName>
  </definedNames>
  <calcPr calcId="152511"/>
</workbook>
</file>

<file path=xl/calcChain.xml><?xml version="1.0" encoding="utf-8"?>
<calcChain xmlns="http://schemas.openxmlformats.org/spreadsheetml/2006/main">
  <c r="H14" i="18" l="1"/>
  <c r="I14" i="18" s="1"/>
  <c r="I14" i="15"/>
  <c r="I14" i="14"/>
  <c r="H14" i="12"/>
  <c r="I14" i="12" s="1"/>
  <c r="I16" i="12" s="1"/>
  <c r="I14" i="9"/>
  <c r="I14" i="8"/>
  <c r="I15" i="402"/>
  <c r="I16" i="402"/>
  <c r="I17" i="402"/>
  <c r="I18" i="402"/>
  <c r="I14" i="402"/>
  <c r="I19" i="402" s="1"/>
  <c r="N1" i="402" s="1"/>
  <c r="I15" i="310"/>
  <c r="I18" i="310" s="1"/>
  <c r="I16" i="310"/>
  <c r="I17" i="310"/>
  <c r="I14" i="310"/>
  <c r="I16" i="290"/>
  <c r="I16" i="289"/>
  <c r="H14" i="142"/>
  <c r="I14" i="142" s="1"/>
  <c r="I16" i="142" s="1"/>
  <c r="K119" i="3" s="1"/>
  <c r="H119" i="3" s="1"/>
  <c r="N119" i="3" s="1"/>
  <c r="I16" i="121"/>
  <c r="I17" i="121"/>
  <c r="I14" i="89"/>
  <c r="H14" i="40"/>
  <c r="I217" i="3"/>
  <c r="I208" i="3"/>
  <c r="I204" i="3"/>
  <c r="I368" i="3"/>
  <c r="I367" i="3"/>
  <c r="I366" i="3"/>
  <c r="I365" i="3"/>
  <c r="F365" i="3"/>
  <c r="I364" i="3"/>
  <c r="I363" i="3"/>
  <c r="I362" i="3"/>
  <c r="I361" i="3"/>
  <c r="I360" i="3"/>
  <c r="I359" i="3"/>
  <c r="I358" i="3"/>
  <c r="F368" i="3"/>
  <c r="F367" i="3"/>
  <c r="F364" i="3"/>
  <c r="F363" i="3"/>
  <c r="F361" i="3"/>
  <c r="F360" i="3"/>
  <c r="F359" i="3"/>
  <c r="H14" i="417"/>
  <c r="I14" i="417"/>
  <c r="I356" i="3"/>
  <c r="I355" i="3"/>
  <c r="F356" i="3"/>
  <c r="F355" i="3"/>
  <c r="I354" i="3"/>
  <c r="I353" i="3"/>
  <c r="I352" i="3"/>
  <c r="I351" i="3"/>
  <c r="I350" i="3"/>
  <c r="I349" i="3"/>
  <c r="I348" i="3"/>
  <c r="F348" i="3"/>
  <c r="I347" i="3"/>
  <c r="I346" i="3"/>
  <c r="I345" i="3"/>
  <c r="I344" i="3"/>
  <c r="I343" i="3"/>
  <c r="I342" i="3"/>
  <c r="I341" i="3"/>
  <c r="I340" i="3"/>
  <c r="I339" i="3"/>
  <c r="I338" i="3"/>
  <c r="I337" i="3"/>
  <c r="I336" i="3"/>
  <c r="I335" i="3"/>
  <c r="I334" i="3"/>
  <c r="H14" i="390"/>
  <c r="I14" i="390" s="1"/>
  <c r="I16" i="390" s="1"/>
  <c r="K333" i="3" s="1"/>
  <c r="I333" i="3"/>
  <c r="I332" i="3"/>
  <c r="I331" i="3"/>
  <c r="F331" i="3"/>
  <c r="I330" i="3"/>
  <c r="I329" i="3"/>
  <c r="I328" i="3"/>
  <c r="I327" i="3"/>
  <c r="I326" i="3"/>
  <c r="I325" i="3"/>
  <c r="I324" i="3"/>
  <c r="I323" i="3"/>
  <c r="I322" i="3"/>
  <c r="I321" i="3"/>
  <c r="I320" i="3"/>
  <c r="I319" i="3"/>
  <c r="I318" i="3"/>
  <c r="I317" i="3"/>
  <c r="I316" i="3"/>
  <c r="I315" i="3"/>
  <c r="I314" i="3"/>
  <c r="H14" i="370"/>
  <c r="I14" i="370"/>
  <c r="I313" i="3"/>
  <c r="F313" i="3"/>
  <c r="I312" i="3"/>
  <c r="I311" i="3"/>
  <c r="I310" i="3"/>
  <c r="I309" i="3"/>
  <c r="I308" i="3"/>
  <c r="I307" i="3"/>
  <c r="I306" i="3"/>
  <c r="I305" i="3"/>
  <c r="H14" i="361"/>
  <c r="I14" i="361" s="1"/>
  <c r="I304" i="3"/>
  <c r="I303" i="3"/>
  <c r="I302" i="3"/>
  <c r="I301" i="3"/>
  <c r="I300" i="3"/>
  <c r="I299" i="3"/>
  <c r="I298" i="3"/>
  <c r="H14" i="353"/>
  <c r="I14" i="353" s="1"/>
  <c r="I16" i="353" s="1"/>
  <c r="I297" i="3"/>
  <c r="I296" i="3"/>
  <c r="I295" i="3"/>
  <c r="I294" i="3"/>
  <c r="I293" i="3"/>
  <c r="I292" i="3"/>
  <c r="H14" i="346"/>
  <c r="I14" i="346" s="1"/>
  <c r="I16" i="346" s="1"/>
  <c r="K291" i="3" s="1"/>
  <c r="I291" i="3"/>
  <c r="I290" i="3"/>
  <c r="I289" i="3"/>
  <c r="I288" i="3"/>
  <c r="I287" i="3"/>
  <c r="I286" i="3"/>
  <c r="F354" i="3"/>
  <c r="F353" i="3"/>
  <c r="F352" i="3"/>
  <c r="F351" i="3"/>
  <c r="F350" i="3"/>
  <c r="F347" i="3"/>
  <c r="F346" i="3"/>
  <c r="F345" i="3"/>
  <c r="F344" i="3"/>
  <c r="F343" i="3"/>
  <c r="F342" i="3"/>
  <c r="F340" i="3"/>
  <c r="F339" i="3"/>
  <c r="F338" i="3"/>
  <c r="F336" i="3"/>
  <c r="F335" i="3"/>
  <c r="F334" i="3"/>
  <c r="F333" i="3"/>
  <c r="F330" i="3"/>
  <c r="F329" i="3"/>
  <c r="F328" i="3"/>
  <c r="F326" i="3"/>
  <c r="F325" i="3"/>
  <c r="F324" i="3"/>
  <c r="F322" i="3"/>
  <c r="F321" i="3"/>
  <c r="F320" i="3"/>
  <c r="F319" i="3"/>
  <c r="F317" i="3"/>
  <c r="F316" i="3"/>
  <c r="F315" i="3"/>
  <c r="F312" i="3"/>
  <c r="F311" i="3"/>
  <c r="F310" i="3"/>
  <c r="F309" i="3"/>
  <c r="F308" i="3"/>
  <c r="F307" i="3"/>
  <c r="F306" i="3"/>
  <c r="F304" i="3"/>
  <c r="F303" i="3"/>
  <c r="F302" i="3"/>
  <c r="F301" i="3"/>
  <c r="F300" i="3"/>
  <c r="F299" i="3"/>
  <c r="F297" i="3"/>
  <c r="F296" i="3"/>
  <c r="F295" i="3"/>
  <c r="F294" i="3"/>
  <c r="F293" i="3"/>
  <c r="F291" i="3"/>
  <c r="F290" i="3"/>
  <c r="F289" i="3"/>
  <c r="F288" i="3"/>
  <c r="F287" i="3"/>
  <c r="I284" i="3"/>
  <c r="I283" i="3"/>
  <c r="I282" i="3"/>
  <c r="I281" i="3"/>
  <c r="I280" i="3"/>
  <c r="I279" i="3"/>
  <c r="I278" i="3"/>
  <c r="M277" i="3"/>
  <c r="I277" i="3"/>
  <c r="I276" i="3"/>
  <c r="I275" i="3"/>
  <c r="I274" i="3"/>
  <c r="I273" i="3"/>
  <c r="I272" i="3"/>
  <c r="I271" i="3"/>
  <c r="I270" i="3"/>
  <c r="I269" i="3"/>
  <c r="I268" i="3"/>
  <c r="I267" i="3"/>
  <c r="F267" i="3"/>
  <c r="I266" i="3"/>
  <c r="I265" i="3"/>
  <c r="I264" i="3"/>
  <c r="I263" i="3"/>
  <c r="I262" i="3"/>
  <c r="I261" i="3"/>
  <c r="I260" i="3"/>
  <c r="I259" i="3"/>
  <c r="I258" i="3"/>
  <c r="I257" i="3"/>
  <c r="F284" i="3"/>
  <c r="F283" i="3"/>
  <c r="F282" i="3"/>
  <c r="F281" i="3"/>
  <c r="F280" i="3"/>
  <c r="F279" i="3"/>
  <c r="F278" i="3"/>
  <c r="F276" i="3"/>
  <c r="F275" i="3"/>
  <c r="F274" i="3"/>
  <c r="F273" i="3"/>
  <c r="F271" i="3"/>
  <c r="F270" i="3"/>
  <c r="F269" i="3"/>
  <c r="F266" i="3"/>
  <c r="F265" i="3"/>
  <c r="F264" i="3"/>
  <c r="F263" i="3"/>
  <c r="F262" i="3"/>
  <c r="F261" i="3"/>
  <c r="F260" i="3"/>
  <c r="F259" i="3"/>
  <c r="F258" i="3"/>
  <c r="F255" i="3"/>
  <c r="F254" i="3"/>
  <c r="F253" i="3"/>
  <c r="F252" i="3"/>
  <c r="F251" i="3"/>
  <c r="F250" i="3"/>
  <c r="F249" i="3"/>
  <c r="F247" i="3"/>
  <c r="F245" i="3"/>
  <c r="F244" i="3"/>
  <c r="F243" i="3"/>
  <c r="F242" i="3"/>
  <c r="F241" i="3"/>
  <c r="F239" i="3"/>
  <c r="I255" i="3"/>
  <c r="I254" i="3"/>
  <c r="I253" i="3"/>
  <c r="F20" i="297"/>
  <c r="I20" i="297"/>
  <c r="I252" i="3"/>
  <c r="I251" i="3"/>
  <c r="I250" i="3"/>
  <c r="I249" i="3"/>
  <c r="I248" i="3"/>
  <c r="I247" i="3"/>
  <c r="I246" i="3"/>
  <c r="I245" i="3"/>
  <c r="I244" i="3"/>
  <c r="I243" i="3"/>
  <c r="I242" i="3"/>
  <c r="I241" i="3"/>
  <c r="I240" i="3"/>
  <c r="I239" i="3"/>
  <c r="I238" i="3"/>
  <c r="I237" i="3"/>
  <c r="I236" i="3"/>
  <c r="I235" i="3"/>
  <c r="I234" i="3"/>
  <c r="I233" i="3"/>
  <c r="I232" i="3"/>
  <c r="I231" i="3"/>
  <c r="I230" i="3"/>
  <c r="I229" i="3"/>
  <c r="I228" i="3"/>
  <c r="I227" i="3"/>
  <c r="I226" i="3"/>
  <c r="I225" i="3"/>
  <c r="I224" i="3"/>
  <c r="I223" i="3"/>
  <c r="I222" i="3"/>
  <c r="F237" i="3"/>
  <c r="F236" i="3"/>
  <c r="F235" i="3"/>
  <c r="F234" i="3"/>
  <c r="F233" i="3"/>
  <c r="F232" i="3"/>
  <c r="F231" i="3"/>
  <c r="F230" i="3"/>
  <c r="F229" i="3"/>
  <c r="F228" i="3"/>
  <c r="F227" i="3"/>
  <c r="F226" i="3"/>
  <c r="F225" i="3"/>
  <c r="F224" i="3"/>
  <c r="F223" i="3"/>
  <c r="I220" i="3"/>
  <c r="I219" i="3"/>
  <c r="I218" i="3"/>
  <c r="I216" i="3"/>
  <c r="F216" i="3"/>
  <c r="I215" i="3"/>
  <c r="I214" i="3"/>
  <c r="I213" i="3"/>
  <c r="F213" i="3"/>
  <c r="I212" i="3"/>
  <c r="I211" i="3"/>
  <c r="I210" i="3"/>
  <c r="I209" i="3"/>
  <c r="F220" i="3"/>
  <c r="F219" i="3"/>
  <c r="F218" i="3"/>
  <c r="F215" i="3"/>
  <c r="F212" i="3"/>
  <c r="F211" i="3"/>
  <c r="F210" i="3"/>
  <c r="F209" i="3"/>
  <c r="F207" i="3"/>
  <c r="F206" i="3"/>
  <c r="F205" i="3"/>
  <c r="I207" i="3"/>
  <c r="I206" i="3"/>
  <c r="I205" i="3"/>
  <c r="I202" i="3"/>
  <c r="I201" i="3"/>
  <c r="I200" i="3"/>
  <c r="F202" i="3"/>
  <c r="F201" i="3"/>
  <c r="F200" i="3"/>
  <c r="M202" i="3"/>
  <c r="I199" i="3"/>
  <c r="I198" i="3"/>
  <c r="I197" i="3"/>
  <c r="I196" i="3"/>
  <c r="I195" i="3"/>
  <c r="I194" i="3"/>
  <c r="I193" i="3"/>
  <c r="I192" i="3"/>
  <c r="I191" i="3"/>
  <c r="I190" i="3"/>
  <c r="I189" i="3"/>
  <c r="I188" i="3"/>
  <c r="I187" i="3"/>
  <c r="I186" i="3"/>
  <c r="I185" i="3"/>
  <c r="I184" i="3"/>
  <c r="I183" i="3"/>
  <c r="I182" i="3"/>
  <c r="I181" i="3"/>
  <c r="I180" i="3"/>
  <c r="I179" i="3"/>
  <c r="I178" i="3"/>
  <c r="I177" i="3"/>
  <c r="I176" i="3"/>
  <c r="I175" i="3"/>
  <c r="I174" i="3"/>
  <c r="I173" i="3"/>
  <c r="I172" i="3"/>
  <c r="I171" i="3"/>
  <c r="I170" i="3"/>
  <c r="I169" i="3"/>
  <c r="I168" i="3"/>
  <c r="I167" i="3"/>
  <c r="I166" i="3"/>
  <c r="I165" i="3"/>
  <c r="I164" i="3"/>
  <c r="I163" i="3"/>
  <c r="I162" i="3"/>
  <c r="I161" i="3"/>
  <c r="I160" i="3"/>
  <c r="I159" i="3"/>
  <c r="I158" i="3"/>
  <c r="I157" i="3"/>
  <c r="I156" i="3"/>
  <c r="I155" i="3"/>
  <c r="I154" i="3"/>
  <c r="I153" i="3"/>
  <c r="I152" i="3"/>
  <c r="I151" i="3"/>
  <c r="I150" i="3"/>
  <c r="I149" i="3"/>
  <c r="I148" i="3"/>
  <c r="I147" i="3"/>
  <c r="I146" i="3"/>
  <c r="I145" i="3"/>
  <c r="I144" i="3"/>
  <c r="I143" i="3"/>
  <c r="I142" i="3"/>
  <c r="I141" i="3"/>
  <c r="I140" i="3"/>
  <c r="I139" i="3"/>
  <c r="I138" i="3"/>
  <c r="I137" i="3"/>
  <c r="I136" i="3"/>
  <c r="I135" i="3"/>
  <c r="I134" i="3"/>
  <c r="I133" i="3"/>
  <c r="I132" i="3"/>
  <c r="I131" i="3"/>
  <c r="I130" i="3"/>
  <c r="I129" i="3"/>
  <c r="I128" i="3"/>
  <c r="I127" i="3"/>
  <c r="I126" i="3"/>
  <c r="I125" i="3"/>
  <c r="I124" i="3"/>
  <c r="I123" i="3"/>
  <c r="F199" i="3"/>
  <c r="F198" i="3"/>
  <c r="F197" i="3"/>
  <c r="F196" i="3"/>
  <c r="F195" i="3"/>
  <c r="F194" i="3"/>
  <c r="F193" i="3"/>
  <c r="F192" i="3"/>
  <c r="F191" i="3"/>
  <c r="F190" i="3"/>
  <c r="F189" i="3"/>
  <c r="F188" i="3"/>
  <c r="F187" i="3"/>
  <c r="F186" i="3"/>
  <c r="F185" i="3"/>
  <c r="F184" i="3"/>
  <c r="F182" i="3"/>
  <c r="F181" i="3"/>
  <c r="F180" i="3"/>
  <c r="F179" i="3"/>
  <c r="F178" i="3"/>
  <c r="F177" i="3"/>
  <c r="F176" i="3"/>
  <c r="F175" i="3"/>
  <c r="F173" i="3"/>
  <c r="F172" i="3"/>
  <c r="F171" i="3"/>
  <c r="F169" i="3"/>
  <c r="F168" i="3"/>
  <c r="F167" i="3"/>
  <c r="F166" i="3"/>
  <c r="F165" i="3"/>
  <c r="F164" i="3"/>
  <c r="F163" i="3"/>
  <c r="F162" i="3"/>
  <c r="F160" i="3"/>
  <c r="F159" i="3"/>
  <c r="F158" i="3"/>
  <c r="F157" i="3"/>
  <c r="F156" i="3"/>
  <c r="F155" i="3"/>
  <c r="F154" i="3"/>
  <c r="F153" i="3"/>
  <c r="F152" i="3"/>
  <c r="F151" i="3"/>
  <c r="F150" i="3"/>
  <c r="F149" i="3"/>
  <c r="F148" i="3"/>
  <c r="F147" i="3"/>
  <c r="F146" i="3"/>
  <c r="F145" i="3"/>
  <c r="F144" i="3"/>
  <c r="F143" i="3"/>
  <c r="F142" i="3"/>
  <c r="F141" i="3"/>
  <c r="F140" i="3"/>
  <c r="F139" i="3"/>
  <c r="F137" i="3"/>
  <c r="F136" i="3"/>
  <c r="F135" i="3"/>
  <c r="F134" i="3"/>
  <c r="F133" i="3"/>
  <c r="F132" i="3"/>
  <c r="F131" i="3"/>
  <c r="F129" i="3"/>
  <c r="F128" i="3"/>
  <c r="F126" i="3"/>
  <c r="F125" i="3"/>
  <c r="F124" i="3"/>
  <c r="I121" i="3"/>
  <c r="I120" i="3"/>
  <c r="I119" i="3"/>
  <c r="I118" i="3"/>
  <c r="I117" i="3"/>
  <c r="I116" i="3"/>
  <c r="I115" i="3"/>
  <c r="I114" i="3"/>
  <c r="I113" i="3"/>
  <c r="I112" i="3"/>
  <c r="I111" i="3"/>
  <c r="I110" i="3"/>
  <c r="I109" i="3"/>
  <c r="I108" i="3"/>
  <c r="I107" i="3"/>
  <c r="I106" i="3"/>
  <c r="I105" i="3"/>
  <c r="I104" i="3"/>
  <c r="I103" i="3"/>
  <c r="I102" i="3"/>
  <c r="I101" i="3"/>
  <c r="I100" i="3"/>
  <c r="I99" i="3"/>
  <c r="I98" i="3"/>
  <c r="I97" i="3"/>
  <c r="I96" i="3"/>
  <c r="I95" i="3"/>
  <c r="I94" i="3"/>
  <c r="I93" i="3"/>
  <c r="I92" i="3"/>
  <c r="I91" i="3"/>
  <c r="I90" i="3"/>
  <c r="I89" i="3"/>
  <c r="I88" i="3"/>
  <c r="I87" i="3"/>
  <c r="I86" i="3"/>
  <c r="I85" i="3"/>
  <c r="I84" i="3"/>
  <c r="I83" i="3"/>
  <c r="I82" i="3"/>
  <c r="I81" i="3"/>
  <c r="I80" i="3"/>
  <c r="I79" i="3"/>
  <c r="I78" i="3"/>
  <c r="I77" i="3"/>
  <c r="I76" i="3"/>
  <c r="I75" i="3"/>
  <c r="I74" i="3"/>
  <c r="I72" i="3"/>
  <c r="I71" i="3"/>
  <c r="I70" i="3"/>
  <c r="I69" i="3"/>
  <c r="I68" i="3"/>
  <c r="I67" i="3"/>
  <c r="I66" i="3"/>
  <c r="I65" i="3"/>
  <c r="I64" i="3"/>
  <c r="I63" i="3"/>
  <c r="I60" i="3"/>
  <c r="I59" i="3"/>
  <c r="I58" i="3"/>
  <c r="I57" i="3"/>
  <c r="I56" i="3"/>
  <c r="I55" i="3"/>
  <c r="I54" i="3"/>
  <c r="I53" i="3"/>
  <c r="I52" i="3"/>
  <c r="I51" i="3"/>
  <c r="I50" i="3"/>
  <c r="I49" i="3"/>
  <c r="I48" i="3"/>
  <c r="I47" i="3"/>
  <c r="I46" i="3"/>
  <c r="I45" i="3"/>
  <c r="I44" i="3"/>
  <c r="I43" i="3"/>
  <c r="I42" i="3"/>
  <c r="I41" i="3"/>
  <c r="I40" i="3"/>
  <c r="I39" i="3"/>
  <c r="I38" i="3"/>
  <c r="I37" i="3"/>
  <c r="I36" i="3"/>
  <c r="I35" i="3"/>
  <c r="I34" i="3"/>
  <c r="I33" i="3"/>
  <c r="I32" i="3"/>
  <c r="I31" i="3"/>
  <c r="I30" i="3"/>
  <c r="I29" i="3"/>
  <c r="I28" i="3"/>
  <c r="F121" i="3"/>
  <c r="F120" i="3"/>
  <c r="F119" i="3"/>
  <c r="F118" i="3"/>
  <c r="F117" i="3"/>
  <c r="F116" i="3"/>
  <c r="F114" i="3"/>
  <c r="F113" i="3"/>
  <c r="F112" i="3"/>
  <c r="F110" i="3"/>
  <c r="F109" i="3"/>
  <c r="F108" i="3"/>
  <c r="F107" i="3"/>
  <c r="F105" i="3"/>
  <c r="F104" i="3"/>
  <c r="F103" i="3"/>
  <c r="F102" i="3"/>
  <c r="F101" i="3"/>
  <c r="F99" i="3"/>
  <c r="F98" i="3"/>
  <c r="F97" i="3"/>
  <c r="F96" i="3"/>
  <c r="F95" i="3"/>
  <c r="F94" i="3"/>
  <c r="F93" i="3"/>
  <c r="F92" i="3"/>
  <c r="F90" i="3"/>
  <c r="F89" i="3"/>
  <c r="F87" i="3"/>
  <c r="F86" i="3"/>
  <c r="F85" i="3"/>
  <c r="F84" i="3"/>
  <c r="F83" i="3"/>
  <c r="F82" i="3"/>
  <c r="F81" i="3"/>
  <c r="F80" i="3"/>
  <c r="F79" i="3"/>
  <c r="F78" i="3"/>
  <c r="F77" i="3"/>
  <c r="F76" i="3"/>
  <c r="F75" i="3"/>
  <c r="F73" i="3"/>
  <c r="F72" i="3"/>
  <c r="F71" i="3"/>
  <c r="F70" i="3"/>
  <c r="F69" i="3"/>
  <c r="F68" i="3"/>
  <c r="F67" i="3"/>
  <c r="F66" i="3"/>
  <c r="F65" i="3"/>
  <c r="F64" i="3"/>
  <c r="F58" i="3"/>
  <c r="F56" i="3"/>
  <c r="F55" i="3"/>
  <c r="F54" i="3"/>
  <c r="F53" i="3"/>
  <c r="F52" i="3"/>
  <c r="F51" i="3"/>
  <c r="F50" i="3"/>
  <c r="F49" i="3"/>
  <c r="F47" i="3"/>
  <c r="F46" i="3"/>
  <c r="F45" i="3"/>
  <c r="F44" i="3"/>
  <c r="F43" i="3"/>
  <c r="F42" i="3"/>
  <c r="F41" i="3"/>
  <c r="F40" i="3"/>
  <c r="F39" i="3"/>
  <c r="F37" i="3"/>
  <c r="F36" i="3"/>
  <c r="F35" i="3"/>
  <c r="F34" i="3"/>
  <c r="F33" i="3"/>
  <c r="F32" i="3"/>
  <c r="F31" i="3"/>
  <c r="F30" i="3"/>
  <c r="F29" i="3"/>
  <c r="I19" i="3"/>
  <c r="I26" i="3"/>
  <c r="I25" i="3"/>
  <c r="I24" i="3"/>
  <c r="I23" i="3"/>
  <c r="I22" i="3"/>
  <c r="I21" i="3"/>
  <c r="I20" i="3"/>
  <c r="I18" i="3"/>
  <c r="I17" i="3"/>
  <c r="I16" i="3"/>
  <c r="I15" i="3"/>
  <c r="I14" i="3"/>
  <c r="I13" i="3"/>
  <c r="F26" i="3"/>
  <c r="F25" i="3"/>
  <c r="F24" i="3"/>
  <c r="F23" i="3"/>
  <c r="F22" i="3"/>
  <c r="F21" i="3"/>
  <c r="F20" i="3"/>
  <c r="F18" i="3"/>
  <c r="F17" i="3"/>
  <c r="F16" i="3"/>
  <c r="F15" i="3"/>
  <c r="F14" i="3"/>
  <c r="I12" i="3"/>
  <c r="I11" i="3"/>
  <c r="I10" i="3"/>
  <c r="I9" i="3"/>
  <c r="F12" i="3"/>
  <c r="F11" i="3"/>
  <c r="F10" i="3"/>
  <c r="I8" i="3"/>
  <c r="F8" i="3"/>
  <c r="I7" i="3"/>
  <c r="F9" i="3"/>
  <c r="C7" i="3"/>
  <c r="N10" i="432"/>
  <c r="N11" i="432"/>
  <c r="N1" i="432" s="1"/>
  <c r="I20" i="430"/>
  <c r="I19" i="430"/>
  <c r="I18" i="430"/>
  <c r="I17" i="430"/>
  <c r="I16" i="430"/>
  <c r="I15" i="430"/>
  <c r="I14" i="430"/>
  <c r="J10" i="430"/>
  <c r="N10" i="430" s="1"/>
  <c r="N11" i="430" s="1"/>
  <c r="J367" i="3" s="1"/>
  <c r="E10" i="430"/>
  <c r="J25" i="429"/>
  <c r="L366" i="3" s="1"/>
  <c r="J24" i="429"/>
  <c r="I20" i="429"/>
  <c r="I19" i="429"/>
  <c r="I18" i="429"/>
  <c r="I21" i="429" s="1"/>
  <c r="K366" i="3" s="1"/>
  <c r="N14" i="429"/>
  <c r="N15" i="429"/>
  <c r="J366" i="3"/>
  <c r="I16" i="427"/>
  <c r="I15" i="427"/>
  <c r="J10" i="427"/>
  <c r="N10" i="427"/>
  <c r="N11" i="427"/>
  <c r="J365" i="3"/>
  <c r="N10" i="426"/>
  <c r="N11" i="426"/>
  <c r="I19" i="424"/>
  <c r="I18" i="424"/>
  <c r="I17" i="424"/>
  <c r="I16" i="424"/>
  <c r="I15" i="424"/>
  <c r="I14" i="424"/>
  <c r="J10" i="424"/>
  <c r="E10" i="424" s="1"/>
  <c r="N10" i="424"/>
  <c r="N11" i="424" s="1"/>
  <c r="J363" i="3" s="1"/>
  <c r="J25" i="423"/>
  <c r="J26" i="423"/>
  <c r="L362" i="3" s="1"/>
  <c r="I21" i="423"/>
  <c r="I20" i="423"/>
  <c r="I19" i="423"/>
  <c r="N15" i="423"/>
  <c r="N16" i="423" s="1"/>
  <c r="J362" i="3" s="1"/>
  <c r="N10" i="422"/>
  <c r="N11" i="422"/>
  <c r="N10" i="421"/>
  <c r="N11" i="421" s="1"/>
  <c r="N1" i="421" s="1"/>
  <c r="N10" i="420"/>
  <c r="N11" i="420"/>
  <c r="J24" i="419"/>
  <c r="J25" i="419"/>
  <c r="L358" i="3" s="1"/>
  <c r="I20" i="419"/>
  <c r="I19" i="419"/>
  <c r="I21" i="419" s="1"/>
  <c r="K358" i="3" s="1"/>
  <c r="N15" i="419"/>
  <c r="N16" i="419" s="1"/>
  <c r="J358" i="3" s="1"/>
  <c r="N4" i="432"/>
  <c r="J368" i="3"/>
  <c r="H368" i="3" s="1"/>
  <c r="N368" i="3" s="1"/>
  <c r="J360" i="3"/>
  <c r="H360" i="3" s="1"/>
  <c r="N360" i="3" s="1"/>
  <c r="I17" i="427"/>
  <c r="K365" i="3" s="1"/>
  <c r="C10" i="429"/>
  <c r="E10" i="429"/>
  <c r="I15" i="417"/>
  <c r="I16" i="417"/>
  <c r="K356" i="3"/>
  <c r="J10" i="417"/>
  <c r="I15" i="416"/>
  <c r="I14" i="416"/>
  <c r="J10" i="416"/>
  <c r="I15" i="415"/>
  <c r="I14" i="415"/>
  <c r="J10" i="415"/>
  <c r="N10" i="415"/>
  <c r="N11" i="415" s="1"/>
  <c r="J354" i="3" s="1"/>
  <c r="I16" i="414"/>
  <c r="I15" i="414"/>
  <c r="I14" i="414"/>
  <c r="I17" i="414" s="1"/>
  <c r="K353" i="3" s="1"/>
  <c r="J10" i="414"/>
  <c r="N10" i="414" s="1"/>
  <c r="N11" i="414" s="1"/>
  <c r="I15" i="413"/>
  <c r="I14" i="413"/>
  <c r="J10" i="413"/>
  <c r="E10" i="413"/>
  <c r="I19" i="412"/>
  <c r="I18" i="412"/>
  <c r="I17" i="412"/>
  <c r="I16" i="412"/>
  <c r="I15" i="412"/>
  <c r="I14" i="412"/>
  <c r="J10" i="412"/>
  <c r="E10" i="412"/>
  <c r="I18" i="410"/>
  <c r="I17" i="410"/>
  <c r="I16" i="410"/>
  <c r="I15" i="410"/>
  <c r="I14" i="410"/>
  <c r="J10" i="410"/>
  <c r="J41" i="409"/>
  <c r="J40" i="409"/>
  <c r="J39" i="409"/>
  <c r="J38" i="409"/>
  <c r="J37" i="409"/>
  <c r="J36" i="409"/>
  <c r="J35" i="409"/>
  <c r="J42" i="409" s="1"/>
  <c r="J34" i="409"/>
  <c r="I30" i="409"/>
  <c r="I29" i="409"/>
  <c r="I28" i="409"/>
  <c r="I27" i="409"/>
  <c r="I26" i="409"/>
  <c r="I25" i="409"/>
  <c r="I24" i="409"/>
  <c r="I23" i="409"/>
  <c r="I22" i="409"/>
  <c r="I21" i="409"/>
  <c r="I20" i="409"/>
  <c r="I19" i="409"/>
  <c r="I15" i="408"/>
  <c r="I14" i="408"/>
  <c r="J10" i="408"/>
  <c r="I15" i="407"/>
  <c r="I14" i="407"/>
  <c r="J10" i="407"/>
  <c r="N10" i="407"/>
  <c r="N11" i="407"/>
  <c r="J347" i="3" s="1"/>
  <c r="I15" i="406"/>
  <c r="I16" i="406" s="1"/>
  <c r="I14" i="406"/>
  <c r="J10" i="406"/>
  <c r="E10" i="406" s="1"/>
  <c r="I15" i="405"/>
  <c r="I14" i="405"/>
  <c r="J10" i="405"/>
  <c r="I19" i="404"/>
  <c r="I18" i="404"/>
  <c r="I17" i="404"/>
  <c r="I16" i="404"/>
  <c r="I15" i="404"/>
  <c r="I14" i="404"/>
  <c r="J10" i="404"/>
  <c r="J10" i="402"/>
  <c r="N10" i="402" s="1"/>
  <c r="N11" i="402"/>
  <c r="J343" i="3"/>
  <c r="I18" i="400"/>
  <c r="I17" i="400"/>
  <c r="I16" i="400"/>
  <c r="I15" i="400"/>
  <c r="I14" i="400"/>
  <c r="J10" i="400"/>
  <c r="E10" i="400"/>
  <c r="J44" i="399"/>
  <c r="J43" i="399"/>
  <c r="J42" i="399"/>
  <c r="J41" i="399"/>
  <c r="J40" i="399"/>
  <c r="J39" i="399"/>
  <c r="J38" i="399"/>
  <c r="J37" i="399"/>
  <c r="I33" i="399"/>
  <c r="I32" i="399"/>
  <c r="I31" i="399"/>
  <c r="I30" i="399"/>
  <c r="I29" i="399"/>
  <c r="I28" i="399"/>
  <c r="I27" i="399"/>
  <c r="I26" i="399"/>
  <c r="I25" i="399"/>
  <c r="I24" i="399"/>
  <c r="I23" i="399"/>
  <c r="I22" i="399"/>
  <c r="I21" i="399"/>
  <c r="I20" i="399"/>
  <c r="I19" i="399"/>
  <c r="I18" i="398"/>
  <c r="I17" i="398"/>
  <c r="I16" i="398"/>
  <c r="I15" i="398"/>
  <c r="I14" i="398"/>
  <c r="J10" i="398"/>
  <c r="N10" i="398" s="1"/>
  <c r="N11" i="398" s="1"/>
  <c r="I18" i="397"/>
  <c r="I17" i="397"/>
  <c r="I15" i="397"/>
  <c r="I14" i="397"/>
  <c r="J10" i="397"/>
  <c r="N10" i="397"/>
  <c r="N11" i="397" s="1"/>
  <c r="I14" i="396"/>
  <c r="I15" i="396" s="1"/>
  <c r="K338" i="3" s="1"/>
  <c r="J10" i="396"/>
  <c r="N10" i="396"/>
  <c r="N11" i="396" s="1"/>
  <c r="I43" i="395"/>
  <c r="M337" i="3"/>
  <c r="J38" i="395"/>
  <c r="J39" i="395" s="1"/>
  <c r="L337" i="3" s="1"/>
  <c r="J37" i="395"/>
  <c r="J36" i="395"/>
  <c r="J35" i="395"/>
  <c r="J34" i="395"/>
  <c r="J33" i="395"/>
  <c r="I29" i="395"/>
  <c r="I28" i="395"/>
  <c r="I27" i="395"/>
  <c r="I26" i="395"/>
  <c r="I25" i="395"/>
  <c r="I24" i="395"/>
  <c r="I23" i="395"/>
  <c r="I22" i="395"/>
  <c r="I21" i="395"/>
  <c r="I20" i="395"/>
  <c r="N16" i="395"/>
  <c r="N17" i="395" s="1"/>
  <c r="J337" i="3" s="1"/>
  <c r="N15" i="395"/>
  <c r="I24" i="394"/>
  <c r="I23" i="394"/>
  <c r="I22" i="394"/>
  <c r="I21" i="394"/>
  <c r="I20" i="394"/>
  <c r="I19" i="394"/>
  <c r="I18" i="394"/>
  <c r="I17" i="394"/>
  <c r="I16" i="394"/>
  <c r="H15" i="394"/>
  <c r="I15" i="394"/>
  <c r="F15" i="394"/>
  <c r="I14" i="394"/>
  <c r="N10" i="394"/>
  <c r="N11" i="394"/>
  <c r="I15" i="393"/>
  <c r="I16" i="393" s="1"/>
  <c r="K335" i="3" s="1"/>
  <c r="H335" i="3" s="1"/>
  <c r="N335" i="3" s="1"/>
  <c r="I14" i="393"/>
  <c r="J10" i="393"/>
  <c r="N10" i="393"/>
  <c r="N11" i="393" s="1"/>
  <c r="J335" i="3" s="1"/>
  <c r="N1" i="393"/>
  <c r="N4" i="393" s="1"/>
  <c r="I16" i="392"/>
  <c r="I15" i="392"/>
  <c r="I14" i="392"/>
  <c r="I17" i="392" s="1"/>
  <c r="J10" i="392"/>
  <c r="N10" i="392" s="1"/>
  <c r="N11" i="392" s="1"/>
  <c r="J334" i="3" s="1"/>
  <c r="I15" i="390"/>
  <c r="J10" i="390"/>
  <c r="N10" i="390"/>
  <c r="N11" i="390" s="1"/>
  <c r="I33" i="389"/>
  <c r="I34" i="389" s="1"/>
  <c r="M332" i="3" s="1"/>
  <c r="J30" i="389"/>
  <c r="L332" i="3" s="1"/>
  <c r="I23" i="389"/>
  <c r="I22" i="389"/>
  <c r="I21" i="389"/>
  <c r="I20" i="389"/>
  <c r="I19" i="389"/>
  <c r="I18" i="389"/>
  <c r="I17" i="389"/>
  <c r="I16" i="389"/>
  <c r="E12" i="389"/>
  <c r="E11" i="389"/>
  <c r="E10" i="389"/>
  <c r="E9" i="389"/>
  <c r="E13" i="389" s="1"/>
  <c r="I15" i="388"/>
  <c r="I16" i="388" s="1"/>
  <c r="K331" i="3" s="1"/>
  <c r="I14" i="388"/>
  <c r="J10" i="388"/>
  <c r="N10" i="388" s="1"/>
  <c r="N11" i="388" s="1"/>
  <c r="I22" i="387"/>
  <c r="I21" i="387"/>
  <c r="I20" i="387"/>
  <c r="I19" i="387"/>
  <c r="I18" i="387"/>
  <c r="I17" i="387"/>
  <c r="I16" i="387"/>
  <c r="H15" i="387"/>
  <c r="I15" i="387"/>
  <c r="I14" i="387"/>
  <c r="K10" i="387"/>
  <c r="N10" i="387" s="1"/>
  <c r="N11" i="387" s="1"/>
  <c r="J10" i="387"/>
  <c r="N10" i="386"/>
  <c r="N11" i="386" s="1"/>
  <c r="N1" i="386" s="1"/>
  <c r="N10" i="385"/>
  <c r="N1" i="385" s="1"/>
  <c r="I39" i="384"/>
  <c r="I40" i="384"/>
  <c r="M327" i="3"/>
  <c r="J35" i="384"/>
  <c r="J34" i="384"/>
  <c r="J33" i="384"/>
  <c r="J36" i="384" s="1"/>
  <c r="L327" i="3" s="1"/>
  <c r="J32" i="384"/>
  <c r="I28" i="384"/>
  <c r="I27" i="384"/>
  <c r="I26" i="384"/>
  <c r="I25" i="384"/>
  <c r="I24" i="384"/>
  <c r="I23" i="384"/>
  <c r="I22" i="384"/>
  <c r="I21" i="384"/>
  <c r="I20" i="384"/>
  <c r="N16" i="384"/>
  <c r="N17" i="384"/>
  <c r="J327" i="3"/>
  <c r="N10" i="400"/>
  <c r="N11" i="400" s="1"/>
  <c r="J342" i="3" s="1"/>
  <c r="I16" i="416"/>
  <c r="K346" i="3"/>
  <c r="I16" i="408"/>
  <c r="K348" i="3" s="1"/>
  <c r="L349" i="3"/>
  <c r="I16" i="405"/>
  <c r="K345" i="3" s="1"/>
  <c r="I20" i="412"/>
  <c r="K351" i="3" s="1"/>
  <c r="N10" i="413"/>
  <c r="N11" i="413" s="1"/>
  <c r="J352" i="3"/>
  <c r="N10" i="412"/>
  <c r="N11" i="412" s="1"/>
  <c r="N10" i="406"/>
  <c r="N11" i="406" s="1"/>
  <c r="J346" i="3" s="1"/>
  <c r="H346" i="3" s="1"/>
  <c r="N346" i="3" s="1"/>
  <c r="I19" i="397"/>
  <c r="N11" i="385"/>
  <c r="J328" i="3" s="1"/>
  <c r="C9" i="384"/>
  <c r="E9" i="384" s="1"/>
  <c r="N4" i="385"/>
  <c r="K339" i="3"/>
  <c r="K355" i="3"/>
  <c r="I18" i="383"/>
  <c r="I17" i="383"/>
  <c r="I16" i="383"/>
  <c r="I15" i="383"/>
  <c r="I14" i="383"/>
  <c r="J10" i="383"/>
  <c r="N10" i="383"/>
  <c r="N11" i="383"/>
  <c r="I18" i="382"/>
  <c r="I17" i="382"/>
  <c r="I15" i="382"/>
  <c r="I14" i="382"/>
  <c r="J10" i="382"/>
  <c r="N10" i="382" s="1"/>
  <c r="N11" i="382"/>
  <c r="J325" i="3" s="1"/>
  <c r="I14" i="381"/>
  <c r="I15" i="381"/>
  <c r="K324" i="3" s="1"/>
  <c r="J10" i="381"/>
  <c r="N10" i="381"/>
  <c r="N11" i="381"/>
  <c r="I43" i="380"/>
  <c r="M323" i="3"/>
  <c r="J38" i="380"/>
  <c r="J37" i="380"/>
  <c r="J36" i="380"/>
  <c r="J35" i="380"/>
  <c r="J34" i="380"/>
  <c r="J39" i="380" s="1"/>
  <c r="L323" i="3" s="1"/>
  <c r="J33" i="380"/>
  <c r="I29" i="380"/>
  <c r="I28" i="380"/>
  <c r="I27" i="380"/>
  <c r="I26" i="380"/>
  <c r="I25" i="380"/>
  <c r="I24" i="380"/>
  <c r="I23" i="380"/>
  <c r="I22" i="380"/>
  <c r="I21" i="380"/>
  <c r="I20" i="380"/>
  <c r="N16" i="380"/>
  <c r="N15" i="380"/>
  <c r="F15" i="379"/>
  <c r="I15" i="379" s="1"/>
  <c r="I14" i="379"/>
  <c r="N10" i="379"/>
  <c r="N11" i="379" s="1"/>
  <c r="J322" i="3"/>
  <c r="I15" i="378"/>
  <c r="I14" i="378"/>
  <c r="I16" i="378" s="1"/>
  <c r="K321" i="3" s="1"/>
  <c r="J10" i="378"/>
  <c r="N10" i="378" s="1"/>
  <c r="N11" i="378" s="1"/>
  <c r="J321" i="3" s="1"/>
  <c r="H321" i="3" s="1"/>
  <c r="N1" i="378"/>
  <c r="N4" i="378"/>
  <c r="I16" i="377"/>
  <c r="I15" i="377"/>
  <c r="I14" i="377"/>
  <c r="I17" i="377" s="1"/>
  <c r="J10" i="377"/>
  <c r="N10" i="377" s="1"/>
  <c r="N11" i="377" s="1"/>
  <c r="J320" i="3" s="1"/>
  <c r="F15" i="376"/>
  <c r="I15" i="376"/>
  <c r="I14" i="376"/>
  <c r="N10" i="376"/>
  <c r="N11" i="376"/>
  <c r="I33" i="375"/>
  <c r="I34" i="375" s="1"/>
  <c r="M318" i="3"/>
  <c r="J29" i="375"/>
  <c r="J28" i="375"/>
  <c r="J27" i="375"/>
  <c r="J30" i="375" s="1"/>
  <c r="I23" i="375"/>
  <c r="I22" i="375"/>
  <c r="I21" i="375"/>
  <c r="I20" i="375"/>
  <c r="I19" i="375"/>
  <c r="I18" i="375"/>
  <c r="I17" i="375"/>
  <c r="F16" i="375"/>
  <c r="I16" i="375"/>
  <c r="F15" i="374"/>
  <c r="I15" i="374" s="1"/>
  <c r="I16" i="374" s="1"/>
  <c r="K317" i="3" s="1"/>
  <c r="I14" i="374"/>
  <c r="N10" i="374"/>
  <c r="N11" i="374" s="1"/>
  <c r="N1" i="374" s="1"/>
  <c r="J317" i="3"/>
  <c r="H317" i="3" s="1"/>
  <c r="N10" i="373"/>
  <c r="N11" i="373"/>
  <c r="J316" i="3" s="1"/>
  <c r="N10" i="372"/>
  <c r="N11" i="372" s="1"/>
  <c r="J315" i="3" s="1"/>
  <c r="H315" i="3" s="1"/>
  <c r="N315" i="3" s="1"/>
  <c r="N1" i="372"/>
  <c r="I38" i="371"/>
  <c r="I39" i="371"/>
  <c r="M314" i="3" s="1"/>
  <c r="J34" i="371"/>
  <c r="J33" i="371"/>
  <c r="J32" i="371"/>
  <c r="J31" i="371"/>
  <c r="I27" i="371"/>
  <c r="I26" i="371"/>
  <c r="I25" i="371"/>
  <c r="I24" i="371"/>
  <c r="I23" i="371"/>
  <c r="I22" i="371"/>
  <c r="I21" i="371"/>
  <c r="I20" i="371"/>
  <c r="I19" i="371"/>
  <c r="N15" i="371"/>
  <c r="N16" i="371"/>
  <c r="J314" i="3" s="1"/>
  <c r="N1" i="373"/>
  <c r="C10" i="371"/>
  <c r="E10" i="371"/>
  <c r="I16" i="376"/>
  <c r="I19" i="382"/>
  <c r="K325" i="3" s="1"/>
  <c r="I28" i="371"/>
  <c r="K314" i="3" s="1"/>
  <c r="I24" i="375"/>
  <c r="K318" i="3" s="1"/>
  <c r="H318" i="3" s="1"/>
  <c r="N318" i="3" s="1"/>
  <c r="L318" i="3"/>
  <c r="C11" i="375"/>
  <c r="E11" i="375" s="1"/>
  <c r="K319" i="3"/>
  <c r="N4" i="373"/>
  <c r="I15" i="370"/>
  <c r="I16" i="370" s="1"/>
  <c r="J10" i="370"/>
  <c r="N10" i="370"/>
  <c r="N11" i="370" s="1"/>
  <c r="J313" i="3"/>
  <c r="I18" i="369"/>
  <c r="I17" i="369"/>
  <c r="I16" i="369"/>
  <c r="I15" i="369"/>
  <c r="I19" i="369" s="1"/>
  <c r="I14" i="369"/>
  <c r="J10" i="369"/>
  <c r="N10" i="369" s="1"/>
  <c r="N11" i="369"/>
  <c r="J312" i="3"/>
  <c r="I17" i="368"/>
  <c r="I16" i="368"/>
  <c r="I15" i="368"/>
  <c r="I14" i="368"/>
  <c r="J10" i="368"/>
  <c r="N10" i="368" s="1"/>
  <c r="N11" i="368" s="1"/>
  <c r="J311" i="3" s="1"/>
  <c r="I31" i="367"/>
  <c r="I30" i="367"/>
  <c r="I29" i="367"/>
  <c r="I28" i="367"/>
  <c r="I27" i="367"/>
  <c r="I26" i="367"/>
  <c r="I25" i="367"/>
  <c r="I24" i="367"/>
  <c r="I23" i="367"/>
  <c r="I22" i="367"/>
  <c r="I21" i="367"/>
  <c r="I32" i="367" s="1"/>
  <c r="K310" i="3" s="1"/>
  <c r="I20" i="367"/>
  <c r="I19" i="367"/>
  <c r="I18" i="367"/>
  <c r="I17" i="367"/>
  <c r="I16" i="367"/>
  <c r="I15" i="367"/>
  <c r="I14" i="367"/>
  <c r="J10" i="367"/>
  <c r="N10" i="367" s="1"/>
  <c r="N11" i="367" s="1"/>
  <c r="I19" i="366"/>
  <c r="I18" i="366"/>
  <c r="I17" i="366"/>
  <c r="I16" i="366"/>
  <c r="I15" i="366"/>
  <c r="I14" i="366"/>
  <c r="J10" i="366"/>
  <c r="N10" i="366"/>
  <c r="N11" i="366" s="1"/>
  <c r="J309" i="3"/>
  <c r="I17" i="365"/>
  <c r="I16" i="365"/>
  <c r="I15" i="365"/>
  <c r="I14" i="365"/>
  <c r="J10" i="365"/>
  <c r="N10" i="365" s="1"/>
  <c r="N11" i="365" s="1"/>
  <c r="I21" i="364"/>
  <c r="I20" i="364"/>
  <c r="I19" i="364"/>
  <c r="I18" i="364"/>
  <c r="I17" i="364"/>
  <c r="I16" i="364"/>
  <c r="I15" i="364"/>
  <c r="I14" i="364"/>
  <c r="J10" i="364"/>
  <c r="N10" i="364" s="1"/>
  <c r="N11" i="364" s="1"/>
  <c r="I21" i="363"/>
  <c r="I20" i="363"/>
  <c r="I19" i="363"/>
  <c r="I18" i="363"/>
  <c r="I17" i="363"/>
  <c r="I16" i="363"/>
  <c r="I15" i="363"/>
  <c r="I14" i="363"/>
  <c r="J10" i="363"/>
  <c r="N10" i="363"/>
  <c r="N11" i="363"/>
  <c r="F64" i="362"/>
  <c r="I64" i="362" s="1"/>
  <c r="I65" i="362" s="1"/>
  <c r="M305" i="3" s="1"/>
  <c r="J60" i="362"/>
  <c r="J59" i="362"/>
  <c r="J58" i="362"/>
  <c r="J57" i="362"/>
  <c r="J61" i="362" s="1"/>
  <c r="L305" i="3" s="1"/>
  <c r="J56" i="362"/>
  <c r="J55" i="362"/>
  <c r="I51" i="362"/>
  <c r="I50" i="362"/>
  <c r="I49" i="362"/>
  <c r="I48" i="362"/>
  <c r="I47" i="362"/>
  <c r="I46" i="362"/>
  <c r="I45" i="362"/>
  <c r="I44" i="362"/>
  <c r="I43" i="362"/>
  <c r="I42" i="362"/>
  <c r="I41" i="362"/>
  <c r="I40" i="362"/>
  <c r="I39" i="362"/>
  <c r="I38" i="362"/>
  <c r="I37" i="362"/>
  <c r="I36" i="362"/>
  <c r="I35" i="362"/>
  <c r="I34" i="362"/>
  <c r="I33" i="362"/>
  <c r="I32" i="362"/>
  <c r="I31" i="362"/>
  <c r="F30" i="362"/>
  <c r="I30" i="362" s="1"/>
  <c r="F29" i="362"/>
  <c r="I29" i="362"/>
  <c r="I52" i="362" s="1"/>
  <c r="K305" i="3" s="1"/>
  <c r="N25" i="362"/>
  <c r="N24" i="362"/>
  <c r="N23" i="362"/>
  <c r="N22" i="362"/>
  <c r="J21" i="362"/>
  <c r="N21" i="362" s="1"/>
  <c r="J20" i="362"/>
  <c r="N20" i="362"/>
  <c r="N26" i="362" s="1"/>
  <c r="J305" i="3" s="1"/>
  <c r="I15" i="361"/>
  <c r="J10" i="361"/>
  <c r="N10" i="361"/>
  <c r="N11" i="361"/>
  <c r="J304" i="3" s="1"/>
  <c r="I26" i="359"/>
  <c r="I25" i="359"/>
  <c r="I24" i="359"/>
  <c r="I23" i="359"/>
  <c r="I22" i="359"/>
  <c r="I21" i="359"/>
  <c r="I20" i="359"/>
  <c r="I19" i="359"/>
  <c r="I18" i="359"/>
  <c r="I17" i="359"/>
  <c r="I16" i="359"/>
  <c r="I15" i="359"/>
  <c r="I27" i="359" s="1"/>
  <c r="I14" i="359"/>
  <c r="J10" i="359"/>
  <c r="N10" i="359" s="1"/>
  <c r="N11" i="359" s="1"/>
  <c r="J303" i="3" s="1"/>
  <c r="I19" i="358"/>
  <c r="I18" i="358"/>
  <c r="I17" i="358"/>
  <c r="I16" i="358"/>
  <c r="I15" i="358"/>
  <c r="I14" i="358"/>
  <c r="I20" i="358" s="1"/>
  <c r="J10" i="358"/>
  <c r="N10" i="358" s="1"/>
  <c r="N11" i="358" s="1"/>
  <c r="J302" i="3" s="1"/>
  <c r="I17" i="357"/>
  <c r="I16" i="357"/>
  <c r="I15" i="357"/>
  <c r="I18" i="357" s="1"/>
  <c r="I14" i="357"/>
  <c r="J10" i="357"/>
  <c r="N10" i="357" s="1"/>
  <c r="N11" i="357"/>
  <c r="J301" i="3" s="1"/>
  <c r="I23" i="356"/>
  <c r="I22" i="356"/>
  <c r="I21" i="356"/>
  <c r="I20" i="356"/>
  <c r="I19" i="356"/>
  <c r="I18" i="356"/>
  <c r="I17" i="356"/>
  <c r="I16" i="356"/>
  <c r="I15" i="356"/>
  <c r="I24" i="356" s="1"/>
  <c r="K300" i="3" s="1"/>
  <c r="I14" i="356"/>
  <c r="J10" i="356"/>
  <c r="N10" i="356"/>
  <c r="N11" i="356" s="1"/>
  <c r="I21" i="355"/>
  <c r="I20" i="355"/>
  <c r="I19" i="355"/>
  <c r="I18" i="355"/>
  <c r="I17" i="355"/>
  <c r="I22" i="355" s="1"/>
  <c r="K299" i="3" s="1"/>
  <c r="I16" i="355"/>
  <c r="I15" i="355"/>
  <c r="I14" i="355"/>
  <c r="J10" i="355"/>
  <c r="N10" i="355" s="1"/>
  <c r="N11" i="355" s="1"/>
  <c r="J299" i="3" s="1"/>
  <c r="F53" i="354"/>
  <c r="I53" i="354"/>
  <c r="I54" i="354" s="1"/>
  <c r="M298" i="3" s="1"/>
  <c r="J49" i="354"/>
  <c r="J48" i="354"/>
  <c r="J47" i="354"/>
  <c r="J46" i="354"/>
  <c r="J50" i="354" s="1"/>
  <c r="L298" i="3" s="1"/>
  <c r="J45" i="354"/>
  <c r="I41" i="354"/>
  <c r="I40" i="354"/>
  <c r="I39" i="354"/>
  <c r="I38" i="354"/>
  <c r="I37" i="354"/>
  <c r="I36" i="354"/>
  <c r="I35" i="354"/>
  <c r="I34" i="354"/>
  <c r="I33" i="354"/>
  <c r="I32" i="354"/>
  <c r="I31" i="354"/>
  <c r="I30" i="354"/>
  <c r="I29" i="354"/>
  <c r="I28" i="354"/>
  <c r="I27" i="354"/>
  <c r="I42" i="354" s="1"/>
  <c r="K298" i="3" s="1"/>
  <c r="I26" i="354"/>
  <c r="N22" i="354"/>
  <c r="N21" i="354"/>
  <c r="E21" i="354"/>
  <c r="N20" i="354"/>
  <c r="J19" i="354"/>
  <c r="N19" i="354"/>
  <c r="J18" i="354"/>
  <c r="N18" i="354" s="1"/>
  <c r="N23" i="354" s="1"/>
  <c r="J298" i="3" s="1"/>
  <c r="I15" i="353"/>
  <c r="J10" i="353"/>
  <c r="N10" i="353"/>
  <c r="N11" i="353"/>
  <c r="J297" i="3"/>
  <c r="I31" i="351"/>
  <c r="I30" i="351"/>
  <c r="I29" i="351"/>
  <c r="I28" i="351"/>
  <c r="I27" i="351"/>
  <c r="I26" i="351"/>
  <c r="I25" i="351"/>
  <c r="I24" i="351"/>
  <c r="I23" i="351"/>
  <c r="I22" i="351"/>
  <c r="I21" i="351"/>
  <c r="I20" i="351"/>
  <c r="I19" i="351"/>
  <c r="I18" i="351"/>
  <c r="I17" i="351"/>
  <c r="I16" i="351"/>
  <c r="I15" i="351"/>
  <c r="I14" i="351"/>
  <c r="J10" i="351"/>
  <c r="N10" i="351" s="1"/>
  <c r="N11" i="351" s="1"/>
  <c r="J296" i="3" s="1"/>
  <c r="I19" i="350"/>
  <c r="I18" i="350"/>
  <c r="I17" i="350"/>
  <c r="I16" i="350"/>
  <c r="I15" i="350"/>
  <c r="I14" i="350"/>
  <c r="I20" i="350" s="1"/>
  <c r="J10" i="350"/>
  <c r="N10" i="350"/>
  <c r="N11" i="350" s="1"/>
  <c r="J295" i="3" s="1"/>
  <c r="I17" i="349"/>
  <c r="I16" i="349"/>
  <c r="I15" i="349"/>
  <c r="I14" i="349"/>
  <c r="J10" i="349"/>
  <c r="N10" i="349"/>
  <c r="N11" i="349" s="1"/>
  <c r="J294" i="3" s="1"/>
  <c r="I21" i="348"/>
  <c r="I20" i="348"/>
  <c r="I19" i="348"/>
  <c r="I18" i="348"/>
  <c r="I17" i="348"/>
  <c r="I16" i="348"/>
  <c r="I15" i="348"/>
  <c r="I14" i="348"/>
  <c r="J10" i="348"/>
  <c r="N10" i="348"/>
  <c r="N11" i="348"/>
  <c r="J293" i="3" s="1"/>
  <c r="I52" i="347"/>
  <c r="I53" i="347"/>
  <c r="M292" i="3" s="1"/>
  <c r="J48" i="347"/>
  <c r="J47" i="347"/>
  <c r="J46" i="347"/>
  <c r="J45" i="347"/>
  <c r="J44" i="347"/>
  <c r="I40" i="347"/>
  <c r="I39" i="347"/>
  <c r="I38" i="347"/>
  <c r="I37" i="347"/>
  <c r="I36" i="347"/>
  <c r="I35" i="347"/>
  <c r="I34" i="347"/>
  <c r="I33" i="347"/>
  <c r="I32" i="347"/>
  <c r="I31" i="347"/>
  <c r="I30" i="347"/>
  <c r="I29" i="347"/>
  <c r="I28" i="347"/>
  <c r="I27" i="347"/>
  <c r="I26" i="347"/>
  <c r="I25" i="347"/>
  <c r="N21" i="347"/>
  <c r="N20" i="347"/>
  <c r="E20" i="347"/>
  <c r="N19" i="347"/>
  <c r="J18" i="347"/>
  <c r="N18" i="347" s="1"/>
  <c r="J17" i="347"/>
  <c r="N17" i="347"/>
  <c r="N22" i="347" s="1"/>
  <c r="J292" i="3" s="1"/>
  <c r="I15" i="346"/>
  <c r="J10" i="346"/>
  <c r="N10" i="346"/>
  <c r="N11" i="346"/>
  <c r="N1" i="346" s="1"/>
  <c r="J291" i="3"/>
  <c r="I15" i="344"/>
  <c r="I14" i="344"/>
  <c r="I16" i="344" s="1"/>
  <c r="J10" i="344"/>
  <c r="N10" i="344"/>
  <c r="N11" i="344" s="1"/>
  <c r="J290" i="3"/>
  <c r="I15" i="342"/>
  <c r="I14" i="342"/>
  <c r="J10" i="342"/>
  <c r="N10" i="342" s="1"/>
  <c r="N11" i="342" s="1"/>
  <c r="J289" i="3" s="1"/>
  <c r="I17" i="341"/>
  <c r="I16" i="341"/>
  <c r="I15" i="341"/>
  <c r="I14" i="341"/>
  <c r="J10" i="341"/>
  <c r="N10" i="341"/>
  <c r="N11" i="341" s="1"/>
  <c r="J288" i="3" s="1"/>
  <c r="I21" i="340"/>
  <c r="I20" i="340"/>
  <c r="I19" i="340"/>
  <c r="I18" i="340"/>
  <c r="I17" i="340"/>
  <c r="I16" i="340"/>
  <c r="I15" i="340"/>
  <c r="I14" i="340"/>
  <c r="J10" i="340"/>
  <c r="N10" i="340"/>
  <c r="N11" i="340" s="1"/>
  <c r="J287" i="3" s="1"/>
  <c r="I47" i="339"/>
  <c r="I48" i="339" s="1"/>
  <c r="M286" i="3" s="1"/>
  <c r="J43" i="339"/>
  <c r="J42" i="339"/>
  <c r="J44" i="339" s="1"/>
  <c r="L286" i="3" s="1"/>
  <c r="J41" i="339"/>
  <c r="I37" i="339"/>
  <c r="I36" i="339"/>
  <c r="I35" i="339"/>
  <c r="I34" i="339"/>
  <c r="I33" i="339"/>
  <c r="I32" i="339"/>
  <c r="I31" i="339"/>
  <c r="I38" i="339" s="1"/>
  <c r="K286" i="3" s="1"/>
  <c r="I30" i="339"/>
  <c r="I29" i="339"/>
  <c r="I28" i="339"/>
  <c r="I27" i="339"/>
  <c r="I26" i="339"/>
  <c r="I25" i="339"/>
  <c r="N21" i="339"/>
  <c r="N20" i="339"/>
  <c r="E20" i="339"/>
  <c r="N19" i="339"/>
  <c r="J18" i="339"/>
  <c r="N18" i="339"/>
  <c r="J17" i="339"/>
  <c r="N17" i="339" s="1"/>
  <c r="I33" i="326"/>
  <c r="I15" i="335"/>
  <c r="I18" i="337"/>
  <c r="I19" i="337" s="1"/>
  <c r="K284" i="3" s="1"/>
  <c r="H284" i="3" s="1"/>
  <c r="N284" i="3" s="1"/>
  <c r="I17" i="337"/>
  <c r="I16" i="337"/>
  <c r="I15" i="337"/>
  <c r="N11" i="337"/>
  <c r="N10" i="337"/>
  <c r="N4" i="337"/>
  <c r="I16" i="335"/>
  <c r="I14" i="335"/>
  <c r="I17" i="335" s="1"/>
  <c r="J10" i="335"/>
  <c r="N10" i="335" s="1"/>
  <c r="N11" i="335" s="1"/>
  <c r="I16" i="332"/>
  <c r="I15" i="332"/>
  <c r="I14" i="332"/>
  <c r="I17" i="332" s="1"/>
  <c r="K282" i="3" s="1"/>
  <c r="N10" i="332"/>
  <c r="N11" i="332" s="1"/>
  <c r="N1" i="332" s="1"/>
  <c r="J282" i="3"/>
  <c r="H282" i="3" s="1"/>
  <c r="N282" i="3" s="1"/>
  <c r="I16" i="330"/>
  <c r="I15" i="330"/>
  <c r="I14" i="330"/>
  <c r="J10" i="330"/>
  <c r="N10" i="330"/>
  <c r="N11" i="330" s="1"/>
  <c r="I22" i="329"/>
  <c r="I23" i="329" s="1"/>
  <c r="M280" i="3" s="1"/>
  <c r="I17" i="329"/>
  <c r="I16" i="329"/>
  <c r="I15" i="329"/>
  <c r="I14" i="329"/>
  <c r="I18" i="329" s="1"/>
  <c r="N10" i="329"/>
  <c r="N11" i="329" s="1"/>
  <c r="J280" i="3" s="1"/>
  <c r="I16" i="328"/>
  <c r="I17" i="328" s="1"/>
  <c r="N1" i="328" s="1"/>
  <c r="I15" i="328"/>
  <c r="I14" i="328"/>
  <c r="N10" i="328"/>
  <c r="N11" i="328"/>
  <c r="J279" i="3"/>
  <c r="H279" i="3" s="1"/>
  <c r="N279" i="3" s="1"/>
  <c r="I15" i="327"/>
  <c r="I16" i="327" s="1"/>
  <c r="I14" i="327"/>
  <c r="N10" i="327"/>
  <c r="N11" i="327" s="1"/>
  <c r="J278" i="3" s="1"/>
  <c r="I45" i="326"/>
  <c r="J41" i="326"/>
  <c r="J40" i="326"/>
  <c r="J39" i="326"/>
  <c r="J38" i="326"/>
  <c r="J42" i="326" s="1"/>
  <c r="J37" i="326"/>
  <c r="I32" i="326"/>
  <c r="I31" i="326"/>
  <c r="I30" i="326"/>
  <c r="I29" i="326"/>
  <c r="I28" i="326"/>
  <c r="I27" i="326"/>
  <c r="I26" i="326"/>
  <c r="I34" i="326" s="1"/>
  <c r="K277" i="3" s="1"/>
  <c r="I25" i="326"/>
  <c r="I24" i="326"/>
  <c r="I23" i="326"/>
  <c r="N19" i="326"/>
  <c r="N20" i="326" s="1"/>
  <c r="J277" i="3"/>
  <c r="C15" i="326"/>
  <c r="E15" i="326"/>
  <c r="I15" i="324"/>
  <c r="I16" i="324"/>
  <c r="I14" i="324"/>
  <c r="I17" i="324" s="1"/>
  <c r="I15" i="323"/>
  <c r="I16" i="323"/>
  <c r="I14" i="323"/>
  <c r="I17" i="323" s="1"/>
  <c r="N1" i="323" s="1"/>
  <c r="C10" i="320" s="1"/>
  <c r="E10" i="320" s="1"/>
  <c r="I15" i="321"/>
  <c r="I16" i="321"/>
  <c r="I17" i="321"/>
  <c r="I18" i="321"/>
  <c r="I14" i="321"/>
  <c r="I19" i="321" s="1"/>
  <c r="K273" i="3" s="1"/>
  <c r="I22" i="320"/>
  <c r="I23" i="320"/>
  <c r="I24" i="320"/>
  <c r="I27" i="320" s="1"/>
  <c r="K272" i="3" s="1"/>
  <c r="H272" i="3" s="1"/>
  <c r="N272" i="3" s="1"/>
  <c r="I25" i="320"/>
  <c r="I26" i="320"/>
  <c r="I14" i="325"/>
  <c r="I15" i="325" s="1"/>
  <c r="K276" i="3"/>
  <c r="N10" i="325"/>
  <c r="N11" i="325" s="1"/>
  <c r="J276" i="3" s="1"/>
  <c r="N10" i="324"/>
  <c r="N11" i="324"/>
  <c r="J275" i="3"/>
  <c r="N10" i="323"/>
  <c r="N11" i="323"/>
  <c r="J274" i="3"/>
  <c r="H274" i="3" s="1"/>
  <c r="N274" i="3" s="1"/>
  <c r="N10" i="321"/>
  <c r="N11" i="321" s="1"/>
  <c r="I37" i="320"/>
  <c r="I38" i="320"/>
  <c r="M272" i="3" s="1"/>
  <c r="J33" i="320"/>
  <c r="J32" i="320"/>
  <c r="J34" i="320" s="1"/>
  <c r="L272" i="3" s="1"/>
  <c r="J31" i="320"/>
  <c r="J30" i="320"/>
  <c r="I21" i="320"/>
  <c r="N17" i="320"/>
  <c r="N16" i="320"/>
  <c r="I15" i="319"/>
  <c r="I14" i="319"/>
  <c r="N10" i="319"/>
  <c r="N11" i="319" s="1"/>
  <c r="J271" i="3" s="1"/>
  <c r="H271" i="3" s="1"/>
  <c r="N271" i="3" s="1"/>
  <c r="I16" i="318"/>
  <c r="I15" i="318"/>
  <c r="I14" i="318"/>
  <c r="N10" i="318"/>
  <c r="N11" i="318"/>
  <c r="J270" i="3"/>
  <c r="I16" i="317"/>
  <c r="I15" i="317"/>
  <c r="I17" i="317" s="1"/>
  <c r="I14" i="317"/>
  <c r="N10" i="317"/>
  <c r="N11" i="317"/>
  <c r="J269" i="3" s="1"/>
  <c r="I30" i="316"/>
  <c r="I31" i="316" s="1"/>
  <c r="M268" i="3" s="1"/>
  <c r="J26" i="316"/>
  <c r="J27" i="316" s="1"/>
  <c r="L268" i="3" s="1"/>
  <c r="I22" i="316"/>
  <c r="I21" i="316"/>
  <c r="I20" i="316"/>
  <c r="N16" i="316"/>
  <c r="N15" i="316"/>
  <c r="N17" i="316" s="1"/>
  <c r="J268" i="3" s="1"/>
  <c r="I23" i="308"/>
  <c r="I21" i="312"/>
  <c r="I18" i="312"/>
  <c r="I17" i="312"/>
  <c r="I16" i="312"/>
  <c r="I17" i="304"/>
  <c r="I15" i="315"/>
  <c r="I14" i="315"/>
  <c r="N10" i="315"/>
  <c r="N11" i="315" s="1"/>
  <c r="J266" i="3" s="1"/>
  <c r="H266" i="3" s="1"/>
  <c r="N266" i="3" s="1"/>
  <c r="I15" i="314"/>
  <c r="I14" i="314"/>
  <c r="N10" i="314"/>
  <c r="N11" i="314" s="1"/>
  <c r="J265" i="3"/>
  <c r="I19" i="313"/>
  <c r="I18" i="313"/>
  <c r="I17" i="313"/>
  <c r="I16" i="313"/>
  <c r="I15" i="313"/>
  <c r="I14" i="313"/>
  <c r="N10" i="313"/>
  <c r="N11" i="313"/>
  <c r="J264" i="3" s="1"/>
  <c r="H264" i="3" s="1"/>
  <c r="N264" i="3" s="1"/>
  <c r="I20" i="312"/>
  <c r="I19" i="312"/>
  <c r="N12" i="312"/>
  <c r="N11" i="312"/>
  <c r="N10" i="312"/>
  <c r="J10" i="310"/>
  <c r="N10" i="310"/>
  <c r="N11" i="310" s="1"/>
  <c r="J267" i="3" s="1"/>
  <c r="I28" i="308"/>
  <c r="I29" i="308"/>
  <c r="M262" i="3" s="1"/>
  <c r="I24" i="308"/>
  <c r="I22" i="308"/>
  <c r="I21" i="308"/>
  <c r="I20" i="308"/>
  <c r="I19" i="308"/>
  <c r="I18" i="308"/>
  <c r="I17" i="308"/>
  <c r="I16" i="308"/>
  <c r="I15" i="308"/>
  <c r="N11" i="308"/>
  <c r="N10" i="308"/>
  <c r="I16" i="307"/>
  <c r="I15" i="307"/>
  <c r="I14" i="307"/>
  <c r="J10" i="307"/>
  <c r="N10" i="307" s="1"/>
  <c r="N11" i="307"/>
  <c r="J261" i="3" s="1"/>
  <c r="I15" i="306"/>
  <c r="I16" i="306" s="1"/>
  <c r="I14" i="306"/>
  <c r="J10" i="306"/>
  <c r="N10" i="306"/>
  <c r="N11" i="306" s="1"/>
  <c r="J260" i="3" s="1"/>
  <c r="I19" i="304"/>
  <c r="I18" i="304"/>
  <c r="I16" i="304"/>
  <c r="I15" i="304"/>
  <c r="I14" i="304"/>
  <c r="N10" i="304"/>
  <c r="N11" i="304"/>
  <c r="J259" i="3" s="1"/>
  <c r="H259" i="3" s="1"/>
  <c r="N259" i="3" s="1"/>
  <c r="I15" i="303"/>
  <c r="I14" i="303"/>
  <c r="J10" i="303"/>
  <c r="N10" i="303" s="1"/>
  <c r="N11" i="303"/>
  <c r="J258" i="3" s="1"/>
  <c r="I72" i="302"/>
  <c r="I71" i="302"/>
  <c r="I70" i="302"/>
  <c r="J66" i="302"/>
  <c r="J65" i="302"/>
  <c r="J64" i="302"/>
  <c r="J63" i="302"/>
  <c r="J62" i="302"/>
  <c r="J61" i="302"/>
  <c r="J60" i="302"/>
  <c r="J59" i="302"/>
  <c r="J58" i="302"/>
  <c r="J67" i="302" s="1"/>
  <c r="L257" i="3" s="1"/>
  <c r="I54" i="302"/>
  <c r="I53" i="302"/>
  <c r="I52" i="302"/>
  <c r="I51" i="302"/>
  <c r="I50" i="302"/>
  <c r="I49" i="302"/>
  <c r="I48" i="302"/>
  <c r="I47" i="302"/>
  <c r="I46" i="302"/>
  <c r="I45" i="302"/>
  <c r="I44" i="302"/>
  <c r="I43" i="302"/>
  <c r="I42" i="302"/>
  <c r="I41" i="302"/>
  <c r="I40" i="302"/>
  <c r="I39" i="302"/>
  <c r="I38" i="302"/>
  <c r="I37" i="302"/>
  <c r="I36" i="302"/>
  <c r="I35" i="302"/>
  <c r="I34" i="302"/>
  <c r="I33" i="302"/>
  <c r="I32" i="302"/>
  <c r="I31" i="302"/>
  <c r="I55" i="302" s="1"/>
  <c r="K257" i="3" s="1"/>
  <c r="N27" i="302"/>
  <c r="N25" i="302"/>
  <c r="N24" i="302"/>
  <c r="N23" i="302"/>
  <c r="N22" i="302"/>
  <c r="N28" i="302" s="1"/>
  <c r="J257" i="3" s="1"/>
  <c r="J10" i="300"/>
  <c r="N10" i="300"/>
  <c r="N11" i="300"/>
  <c r="N12" i="300" s="1"/>
  <c r="J255" i="3" s="1"/>
  <c r="I15" i="300"/>
  <c r="I16" i="300"/>
  <c r="I17" i="300"/>
  <c r="F18" i="300"/>
  <c r="I19" i="300"/>
  <c r="J23" i="300"/>
  <c r="J24" i="300"/>
  <c r="L255" i="3"/>
  <c r="J10" i="299"/>
  <c r="N10" i="299" s="1"/>
  <c r="N12" i="299" s="1"/>
  <c r="J254" i="3" s="1"/>
  <c r="N11" i="299"/>
  <c r="I15" i="299"/>
  <c r="I16" i="299"/>
  <c r="I17" i="299"/>
  <c r="F18" i="299"/>
  <c r="I18" i="299"/>
  <c r="I19" i="299"/>
  <c r="J23" i="299"/>
  <c r="J24" i="299" s="1"/>
  <c r="L254" i="3" s="1"/>
  <c r="J10" i="298"/>
  <c r="N10" i="298" s="1"/>
  <c r="N11" i="298"/>
  <c r="I15" i="298"/>
  <c r="I16" i="298"/>
  <c r="I17" i="298"/>
  <c r="I18" i="298"/>
  <c r="I19" i="298"/>
  <c r="J23" i="298"/>
  <c r="J24" i="298" s="1"/>
  <c r="M253" i="3"/>
  <c r="J10" i="297"/>
  <c r="N10" i="297"/>
  <c r="N12" i="297" s="1"/>
  <c r="J252" i="3" s="1"/>
  <c r="N11" i="297"/>
  <c r="I15" i="297"/>
  <c r="I16" i="297"/>
  <c r="I21" i="297" s="1"/>
  <c r="N1" i="297" s="1"/>
  <c r="N4" i="297" s="1"/>
  <c r="I17" i="297"/>
  <c r="I19" i="297"/>
  <c r="I24" i="297"/>
  <c r="I25" i="297"/>
  <c r="M252" i="3"/>
  <c r="J10" i="296"/>
  <c r="N10" i="296"/>
  <c r="N11" i="296"/>
  <c r="J251" i="3" s="1"/>
  <c r="H251" i="3" s="1"/>
  <c r="N251" i="3" s="1"/>
  <c r="I14" i="296"/>
  <c r="I15" i="296"/>
  <c r="I16" i="296"/>
  <c r="J10" i="295"/>
  <c r="N10" i="295" s="1"/>
  <c r="J11" i="295"/>
  <c r="N11" i="295"/>
  <c r="I15" i="295"/>
  <c r="I16" i="295"/>
  <c r="I17" i="295"/>
  <c r="I18" i="295"/>
  <c r="I19" i="295"/>
  <c r="I23" i="295"/>
  <c r="I24" i="295"/>
  <c r="M250" i="3"/>
  <c r="N10" i="294"/>
  <c r="N14" i="294" s="1"/>
  <c r="J249" i="3" s="1"/>
  <c r="N11" i="294"/>
  <c r="N12" i="294"/>
  <c r="N13" i="294"/>
  <c r="I17" i="294"/>
  <c r="I18" i="294"/>
  <c r="I19" i="294"/>
  <c r="I20" i="294"/>
  <c r="I21" i="294"/>
  <c r="I22" i="294"/>
  <c r="I23" i="294"/>
  <c r="I24" i="294"/>
  <c r="I25" i="294"/>
  <c r="I26" i="294"/>
  <c r="I27" i="294"/>
  <c r="J31" i="294"/>
  <c r="J32" i="294"/>
  <c r="I36" i="294"/>
  <c r="I37" i="294" s="1"/>
  <c r="M249" i="3" s="1"/>
  <c r="N19" i="293"/>
  <c r="N20" i="293"/>
  <c r="N21" i="293"/>
  <c r="E22" i="293"/>
  <c r="N22" i="293"/>
  <c r="N23" i="293"/>
  <c r="N24" i="293"/>
  <c r="F28" i="293"/>
  <c r="I28" i="293"/>
  <c r="F29" i="293"/>
  <c r="I29" i="293" s="1"/>
  <c r="I30" i="293"/>
  <c r="I31" i="293"/>
  <c r="I32" i="293"/>
  <c r="I33" i="293"/>
  <c r="I34" i="293"/>
  <c r="I35" i="293"/>
  <c r="I36" i="293"/>
  <c r="I37" i="293"/>
  <c r="I38" i="293"/>
  <c r="I39" i="293"/>
  <c r="I40" i="293"/>
  <c r="I41" i="293"/>
  <c r="I42" i="293"/>
  <c r="I43" i="293"/>
  <c r="I44" i="293"/>
  <c r="J48" i="293"/>
  <c r="J49" i="293"/>
  <c r="J50" i="293"/>
  <c r="J51" i="293"/>
  <c r="J59" i="293" s="1"/>
  <c r="L248" i="3" s="1"/>
  <c r="J52" i="293"/>
  <c r="J53" i="293"/>
  <c r="J54" i="293"/>
  <c r="J55" i="293"/>
  <c r="J56" i="293"/>
  <c r="J57" i="293"/>
  <c r="J58" i="293"/>
  <c r="I62" i="293"/>
  <c r="I63" i="293"/>
  <c r="M248" i="3" s="1"/>
  <c r="H208" i="292"/>
  <c r="G208" i="292"/>
  <c r="F208" i="292"/>
  <c r="E208" i="292"/>
  <c r="D208" i="292"/>
  <c r="C208" i="292"/>
  <c r="B208" i="292"/>
  <c r="A208" i="292"/>
  <c r="H207" i="292"/>
  <c r="G207" i="292"/>
  <c r="F207" i="292"/>
  <c r="E207" i="292"/>
  <c r="D207" i="292"/>
  <c r="C207" i="292"/>
  <c r="B207" i="292"/>
  <c r="A207" i="292"/>
  <c r="H206" i="292"/>
  <c r="G206" i="292"/>
  <c r="F206" i="292"/>
  <c r="E206" i="292"/>
  <c r="D206" i="292"/>
  <c r="C206" i="292"/>
  <c r="B206" i="292"/>
  <c r="A206" i="292"/>
  <c r="H205" i="292"/>
  <c r="G205" i="292"/>
  <c r="F205" i="292"/>
  <c r="E205" i="292"/>
  <c r="D205" i="292"/>
  <c r="C205" i="292"/>
  <c r="B205" i="292"/>
  <c r="A205" i="292"/>
  <c r="H204" i="292"/>
  <c r="G204" i="292"/>
  <c r="F204" i="292"/>
  <c r="E204" i="292"/>
  <c r="D204" i="292"/>
  <c r="C204" i="292"/>
  <c r="B204" i="292"/>
  <c r="A204" i="292"/>
  <c r="H203" i="292"/>
  <c r="G203" i="292"/>
  <c r="F203" i="292"/>
  <c r="E203" i="292"/>
  <c r="D203" i="292"/>
  <c r="C203" i="292"/>
  <c r="B203" i="292"/>
  <c r="A203" i="292"/>
  <c r="H202" i="292"/>
  <c r="G202" i="292"/>
  <c r="F202" i="292"/>
  <c r="E202" i="292"/>
  <c r="D202" i="292"/>
  <c r="C202" i="292"/>
  <c r="B202" i="292"/>
  <c r="A202" i="292"/>
  <c r="H201" i="292"/>
  <c r="G201" i="292"/>
  <c r="F201" i="292"/>
  <c r="E201" i="292"/>
  <c r="D201" i="292"/>
  <c r="C201" i="292"/>
  <c r="B201" i="292"/>
  <c r="A201" i="292"/>
  <c r="H200" i="292"/>
  <c r="G200" i="292"/>
  <c r="F200" i="292"/>
  <c r="E200" i="292"/>
  <c r="D200" i="292"/>
  <c r="C200" i="292"/>
  <c r="B200" i="292"/>
  <c r="A200" i="292"/>
  <c r="H199" i="292"/>
  <c r="G199" i="292"/>
  <c r="F199" i="292"/>
  <c r="E199" i="292"/>
  <c r="D199" i="292"/>
  <c r="C199" i="292"/>
  <c r="B199" i="292"/>
  <c r="A199" i="292"/>
  <c r="H198" i="292"/>
  <c r="G198" i="292"/>
  <c r="F198" i="292"/>
  <c r="E198" i="292"/>
  <c r="D198" i="292"/>
  <c r="C198" i="292"/>
  <c r="B198" i="292"/>
  <c r="A198" i="292"/>
  <c r="H197" i="292"/>
  <c r="G197" i="292"/>
  <c r="F197" i="292"/>
  <c r="E197" i="292"/>
  <c r="D197" i="292"/>
  <c r="C197" i="292"/>
  <c r="B197" i="292"/>
  <c r="A197" i="292"/>
  <c r="H196" i="292"/>
  <c r="G196" i="292"/>
  <c r="F196" i="292"/>
  <c r="E196" i="292"/>
  <c r="D196" i="292"/>
  <c r="C196" i="292"/>
  <c r="B196" i="292"/>
  <c r="A196" i="292"/>
  <c r="H195" i="292"/>
  <c r="G195" i="292"/>
  <c r="F195" i="292"/>
  <c r="E195" i="292"/>
  <c r="D195" i="292"/>
  <c r="C195" i="292"/>
  <c r="B195" i="292"/>
  <c r="A195" i="292"/>
  <c r="H194" i="292"/>
  <c r="G194" i="292"/>
  <c r="F194" i="292"/>
  <c r="E194" i="292"/>
  <c r="D194" i="292"/>
  <c r="C194" i="292"/>
  <c r="B194" i="292"/>
  <c r="A194" i="292"/>
  <c r="H193" i="292"/>
  <c r="G193" i="292"/>
  <c r="F193" i="292"/>
  <c r="E193" i="292"/>
  <c r="D193" i="292"/>
  <c r="C193" i="292"/>
  <c r="B193" i="292"/>
  <c r="A193" i="292"/>
  <c r="H192" i="292"/>
  <c r="G192" i="292"/>
  <c r="F192" i="292"/>
  <c r="E192" i="292"/>
  <c r="D192" i="292"/>
  <c r="C192" i="292"/>
  <c r="B192" i="292"/>
  <c r="A192" i="292"/>
  <c r="H191" i="292"/>
  <c r="G191" i="292"/>
  <c r="F191" i="292"/>
  <c r="E191" i="292"/>
  <c r="D191" i="292"/>
  <c r="C191" i="292"/>
  <c r="B191" i="292"/>
  <c r="A191" i="292"/>
  <c r="H190" i="292"/>
  <c r="G190" i="292"/>
  <c r="F190" i="292"/>
  <c r="E190" i="292"/>
  <c r="D190" i="292"/>
  <c r="C190" i="292"/>
  <c r="B190" i="292"/>
  <c r="A190" i="292"/>
  <c r="H189" i="292"/>
  <c r="G189" i="292"/>
  <c r="F189" i="292"/>
  <c r="E189" i="292"/>
  <c r="D189" i="292"/>
  <c r="C189" i="292"/>
  <c r="B189" i="292"/>
  <c r="A189" i="292"/>
  <c r="H188" i="292"/>
  <c r="G188" i="292"/>
  <c r="F188" i="292"/>
  <c r="E188" i="292"/>
  <c r="D188" i="292"/>
  <c r="C188" i="292"/>
  <c r="B188" i="292"/>
  <c r="A188" i="292"/>
  <c r="H187" i="292"/>
  <c r="G187" i="292"/>
  <c r="F187" i="292"/>
  <c r="E187" i="292"/>
  <c r="D187" i="292"/>
  <c r="C187" i="292"/>
  <c r="B187" i="292"/>
  <c r="A187" i="292"/>
  <c r="H186" i="292"/>
  <c r="G186" i="292"/>
  <c r="F186" i="292"/>
  <c r="E186" i="292"/>
  <c r="D186" i="292"/>
  <c r="C186" i="292"/>
  <c r="B186" i="292"/>
  <c r="A186" i="292"/>
  <c r="H185" i="292"/>
  <c r="G185" i="292"/>
  <c r="F185" i="292"/>
  <c r="E185" i="292"/>
  <c r="D185" i="292"/>
  <c r="C185" i="292"/>
  <c r="B185" i="292"/>
  <c r="A185" i="292"/>
  <c r="H184" i="292"/>
  <c r="G184" i="292"/>
  <c r="F184" i="292"/>
  <c r="E184" i="292"/>
  <c r="D184" i="292"/>
  <c r="C184" i="292"/>
  <c r="B184" i="292"/>
  <c r="A184" i="292"/>
  <c r="H183" i="292"/>
  <c r="G183" i="292"/>
  <c r="F183" i="292"/>
  <c r="E183" i="292"/>
  <c r="D183" i="292"/>
  <c r="C183" i="292"/>
  <c r="B183" i="292"/>
  <c r="A183" i="292"/>
  <c r="H182" i="292"/>
  <c r="G182" i="292"/>
  <c r="F182" i="292"/>
  <c r="E182" i="292"/>
  <c r="D182" i="292"/>
  <c r="C182" i="292"/>
  <c r="B182" i="292"/>
  <c r="A182" i="292"/>
  <c r="H181" i="292"/>
  <c r="G181" i="292"/>
  <c r="F181" i="292"/>
  <c r="E181" i="292"/>
  <c r="D181" i="292"/>
  <c r="C181" i="292"/>
  <c r="B181" i="292"/>
  <c r="A181" i="292"/>
  <c r="H180" i="292"/>
  <c r="G180" i="292"/>
  <c r="F180" i="292"/>
  <c r="E180" i="292"/>
  <c r="D180" i="292"/>
  <c r="C180" i="292"/>
  <c r="B180" i="292"/>
  <c r="A180" i="292"/>
  <c r="H179" i="292"/>
  <c r="G179" i="292"/>
  <c r="F179" i="292"/>
  <c r="E179" i="292"/>
  <c r="D179" i="292"/>
  <c r="C179" i="292"/>
  <c r="B179" i="292"/>
  <c r="A179" i="292"/>
  <c r="H178" i="292"/>
  <c r="G178" i="292"/>
  <c r="F178" i="292"/>
  <c r="E178" i="292"/>
  <c r="D178" i="292"/>
  <c r="C178" i="292"/>
  <c r="B178" i="292"/>
  <c r="A178" i="292"/>
  <c r="H177" i="292"/>
  <c r="G177" i="292"/>
  <c r="F177" i="292"/>
  <c r="E177" i="292"/>
  <c r="D177" i="292"/>
  <c r="C177" i="292"/>
  <c r="B177" i="292"/>
  <c r="A177" i="292"/>
  <c r="H176" i="292"/>
  <c r="G176" i="292"/>
  <c r="F176" i="292"/>
  <c r="E176" i="292"/>
  <c r="D176" i="292"/>
  <c r="C176" i="292"/>
  <c r="B176" i="292"/>
  <c r="A176" i="292"/>
  <c r="H175" i="292"/>
  <c r="G175" i="292"/>
  <c r="F175" i="292"/>
  <c r="E175" i="292"/>
  <c r="D175" i="292"/>
  <c r="C175" i="292"/>
  <c r="B175" i="292"/>
  <c r="A175" i="292"/>
  <c r="H174" i="292"/>
  <c r="G174" i="292"/>
  <c r="F174" i="292"/>
  <c r="E174" i="292"/>
  <c r="D174" i="292"/>
  <c r="C174" i="292"/>
  <c r="B174" i="292"/>
  <c r="A174" i="292"/>
  <c r="H173" i="292"/>
  <c r="G173" i="292"/>
  <c r="F173" i="292"/>
  <c r="E173" i="292"/>
  <c r="D173" i="292"/>
  <c r="C173" i="292"/>
  <c r="B173" i="292"/>
  <c r="A173" i="292"/>
  <c r="H172" i="292"/>
  <c r="G172" i="292"/>
  <c r="F172" i="292"/>
  <c r="E172" i="292"/>
  <c r="D172" i="292"/>
  <c r="C172" i="292"/>
  <c r="B172" i="292"/>
  <c r="A172" i="292"/>
  <c r="H171" i="292"/>
  <c r="G171" i="292"/>
  <c r="F171" i="292"/>
  <c r="E171" i="292"/>
  <c r="D171" i="292"/>
  <c r="C171" i="292"/>
  <c r="B171" i="292"/>
  <c r="A171" i="292"/>
  <c r="H170" i="292"/>
  <c r="G170" i="292"/>
  <c r="F170" i="292"/>
  <c r="E170" i="292"/>
  <c r="D170" i="292"/>
  <c r="C170" i="292"/>
  <c r="B170" i="292"/>
  <c r="A170" i="292"/>
  <c r="H169" i="292"/>
  <c r="G169" i="292"/>
  <c r="F169" i="292"/>
  <c r="E169" i="292"/>
  <c r="D169" i="292"/>
  <c r="C169" i="292"/>
  <c r="B169" i="292"/>
  <c r="A169" i="292"/>
  <c r="H168" i="292"/>
  <c r="G168" i="292"/>
  <c r="F168" i="292"/>
  <c r="E168" i="292"/>
  <c r="D168" i="292"/>
  <c r="C168" i="292"/>
  <c r="B168" i="292"/>
  <c r="A168" i="292"/>
  <c r="H167" i="292"/>
  <c r="G167" i="292"/>
  <c r="F167" i="292"/>
  <c r="E167" i="292"/>
  <c r="D167" i="292"/>
  <c r="C167" i="292"/>
  <c r="B167" i="292"/>
  <c r="A167" i="292"/>
  <c r="H166" i="292"/>
  <c r="G166" i="292"/>
  <c r="F166" i="292"/>
  <c r="E166" i="292"/>
  <c r="D166" i="292"/>
  <c r="C166" i="292"/>
  <c r="B166" i="292"/>
  <c r="A166" i="292"/>
  <c r="H165" i="292"/>
  <c r="G165" i="292"/>
  <c r="F165" i="292"/>
  <c r="E165" i="292"/>
  <c r="D165" i="292"/>
  <c r="C165" i="292"/>
  <c r="B165" i="292"/>
  <c r="A165" i="292"/>
  <c r="H164" i="292"/>
  <c r="G164" i="292"/>
  <c r="F164" i="292"/>
  <c r="E164" i="292"/>
  <c r="D164" i="292"/>
  <c r="C164" i="292"/>
  <c r="B164" i="292"/>
  <c r="A164" i="292"/>
  <c r="H163" i="292"/>
  <c r="G163" i="292"/>
  <c r="F163" i="292"/>
  <c r="E163" i="292"/>
  <c r="D163" i="292"/>
  <c r="C163" i="292"/>
  <c r="B163" i="292"/>
  <c r="A163" i="292"/>
  <c r="H162" i="292"/>
  <c r="G162" i="292"/>
  <c r="F162" i="292"/>
  <c r="E162" i="292"/>
  <c r="D162" i="292"/>
  <c r="C162" i="292"/>
  <c r="B162" i="292"/>
  <c r="A162" i="292"/>
  <c r="H161" i="292"/>
  <c r="G161" i="292"/>
  <c r="F161" i="292"/>
  <c r="E161" i="292"/>
  <c r="D161" i="292"/>
  <c r="C161" i="292"/>
  <c r="B161" i="292"/>
  <c r="A161" i="292"/>
  <c r="H160" i="292"/>
  <c r="G160" i="292"/>
  <c r="F160" i="292"/>
  <c r="E160" i="292"/>
  <c r="D160" i="292"/>
  <c r="C160" i="292"/>
  <c r="B160" i="292"/>
  <c r="A160" i="292"/>
  <c r="H159" i="292"/>
  <c r="G159" i="292"/>
  <c r="F159" i="292"/>
  <c r="E159" i="292"/>
  <c r="D159" i="292"/>
  <c r="C159" i="292"/>
  <c r="B159" i="292"/>
  <c r="A159" i="292"/>
  <c r="H158" i="292"/>
  <c r="G158" i="292"/>
  <c r="F158" i="292"/>
  <c r="E158" i="292"/>
  <c r="D158" i="292"/>
  <c r="C158" i="292"/>
  <c r="B158" i="292"/>
  <c r="A158" i="292"/>
  <c r="H157" i="292"/>
  <c r="G157" i="292"/>
  <c r="F157" i="292"/>
  <c r="E157" i="292"/>
  <c r="D157" i="292"/>
  <c r="C157" i="292"/>
  <c r="B157" i="292"/>
  <c r="A157" i="292"/>
  <c r="H156" i="292"/>
  <c r="G156" i="292"/>
  <c r="F156" i="292"/>
  <c r="E156" i="292"/>
  <c r="D156" i="292"/>
  <c r="C156" i="292"/>
  <c r="B156" i="292"/>
  <c r="A156" i="292"/>
  <c r="H155" i="292"/>
  <c r="G155" i="292"/>
  <c r="F155" i="292"/>
  <c r="E155" i="292"/>
  <c r="D155" i="292"/>
  <c r="C155" i="292"/>
  <c r="B155" i="292"/>
  <c r="A155" i="292"/>
  <c r="H154" i="292"/>
  <c r="G154" i="292"/>
  <c r="F154" i="292"/>
  <c r="E154" i="292"/>
  <c r="D154" i="292"/>
  <c r="C154" i="292"/>
  <c r="B154" i="292"/>
  <c r="A154" i="292"/>
  <c r="H153" i="292"/>
  <c r="G153" i="292"/>
  <c r="F153" i="292"/>
  <c r="E153" i="292"/>
  <c r="D153" i="292"/>
  <c r="C153" i="292"/>
  <c r="B153" i="292"/>
  <c r="A153" i="292"/>
  <c r="H152" i="292"/>
  <c r="G152" i="292"/>
  <c r="F152" i="292"/>
  <c r="E152" i="292"/>
  <c r="D152" i="292"/>
  <c r="C152" i="292"/>
  <c r="B152" i="292"/>
  <c r="A152" i="292"/>
  <c r="H151" i="292"/>
  <c r="G151" i="292"/>
  <c r="F151" i="292"/>
  <c r="E151" i="292"/>
  <c r="D151" i="292"/>
  <c r="C151" i="292"/>
  <c r="B151" i="292"/>
  <c r="A151" i="292"/>
  <c r="H150" i="292"/>
  <c r="G150" i="292"/>
  <c r="F150" i="292"/>
  <c r="E150" i="292"/>
  <c r="D150" i="292"/>
  <c r="C150" i="292"/>
  <c r="B150" i="292"/>
  <c r="A150" i="292"/>
  <c r="H149" i="292"/>
  <c r="G149" i="292"/>
  <c r="F149" i="292"/>
  <c r="E149" i="292"/>
  <c r="D149" i="292"/>
  <c r="C149" i="292"/>
  <c r="B149" i="292"/>
  <c r="A149" i="292"/>
  <c r="H148" i="292"/>
  <c r="G148" i="292"/>
  <c r="F148" i="292"/>
  <c r="E148" i="292"/>
  <c r="D148" i="292"/>
  <c r="C148" i="292"/>
  <c r="B148" i="292"/>
  <c r="A148" i="292"/>
  <c r="H147" i="292"/>
  <c r="G147" i="292"/>
  <c r="F147" i="292"/>
  <c r="E147" i="292"/>
  <c r="D147" i="292"/>
  <c r="C147" i="292"/>
  <c r="B147" i="292"/>
  <c r="A147" i="292"/>
  <c r="H146" i="292"/>
  <c r="G146" i="292"/>
  <c r="F146" i="292"/>
  <c r="E146" i="292"/>
  <c r="D146" i="292"/>
  <c r="C146" i="292"/>
  <c r="B146" i="292"/>
  <c r="A146" i="292"/>
  <c r="H145" i="292"/>
  <c r="G145" i="292"/>
  <c r="F145" i="292"/>
  <c r="E145" i="292"/>
  <c r="D145" i="292"/>
  <c r="C145" i="292"/>
  <c r="B145" i="292"/>
  <c r="A145" i="292"/>
  <c r="H144" i="292"/>
  <c r="G144" i="292"/>
  <c r="F144" i="292"/>
  <c r="E144" i="292"/>
  <c r="D144" i="292"/>
  <c r="C144" i="292"/>
  <c r="B144" i="292"/>
  <c r="A144" i="292"/>
  <c r="H143" i="292"/>
  <c r="G143" i="292"/>
  <c r="F143" i="292"/>
  <c r="E143" i="292"/>
  <c r="D143" i="292"/>
  <c r="C143" i="292"/>
  <c r="B143" i="292"/>
  <c r="A143" i="292"/>
  <c r="H142" i="292"/>
  <c r="G142" i="292"/>
  <c r="F142" i="292"/>
  <c r="E142" i="292"/>
  <c r="D142" i="292"/>
  <c r="C142" i="292"/>
  <c r="B142" i="292"/>
  <c r="A142" i="292"/>
  <c r="H141" i="292"/>
  <c r="G141" i="292"/>
  <c r="F141" i="292"/>
  <c r="E141" i="292"/>
  <c r="D141" i="292"/>
  <c r="C141" i="292"/>
  <c r="B141" i="292"/>
  <c r="A141" i="292"/>
  <c r="H140" i="292"/>
  <c r="G140" i="292"/>
  <c r="F140" i="292"/>
  <c r="E140" i="292"/>
  <c r="D140" i="292"/>
  <c r="C140" i="292"/>
  <c r="B140" i="292"/>
  <c r="A140" i="292"/>
  <c r="H139" i="292"/>
  <c r="G139" i="292"/>
  <c r="F139" i="292"/>
  <c r="E139" i="292"/>
  <c r="D139" i="292"/>
  <c r="C139" i="292"/>
  <c r="B139" i="292"/>
  <c r="A139" i="292"/>
  <c r="H138" i="292"/>
  <c r="G138" i="292"/>
  <c r="F138" i="292"/>
  <c r="E138" i="292"/>
  <c r="D138" i="292"/>
  <c r="C138" i="292"/>
  <c r="B138" i="292"/>
  <c r="A138" i="292"/>
  <c r="H137" i="292"/>
  <c r="G137" i="292"/>
  <c r="F137" i="292"/>
  <c r="E137" i="292"/>
  <c r="D137" i="292"/>
  <c r="C137" i="292"/>
  <c r="B137" i="292"/>
  <c r="A137" i="292"/>
  <c r="H136" i="292"/>
  <c r="G136" i="292"/>
  <c r="F136" i="292"/>
  <c r="E136" i="292"/>
  <c r="D136" i="292"/>
  <c r="C136" i="292"/>
  <c r="B136" i="292"/>
  <c r="A136" i="292"/>
  <c r="H135" i="292"/>
  <c r="G135" i="292"/>
  <c r="F135" i="292"/>
  <c r="E135" i="292"/>
  <c r="D135" i="292"/>
  <c r="C135" i="292"/>
  <c r="B135" i="292"/>
  <c r="A135" i="292"/>
  <c r="H134" i="292"/>
  <c r="G134" i="292"/>
  <c r="F134" i="292"/>
  <c r="E134" i="292"/>
  <c r="D134" i="292"/>
  <c r="C134" i="292"/>
  <c r="B134" i="292"/>
  <c r="A134" i="292"/>
  <c r="H133" i="292"/>
  <c r="G133" i="292"/>
  <c r="F133" i="292"/>
  <c r="E133" i="292"/>
  <c r="D133" i="292"/>
  <c r="C133" i="292"/>
  <c r="B133" i="292"/>
  <c r="A133" i="292"/>
  <c r="H132" i="292"/>
  <c r="G132" i="292"/>
  <c r="F132" i="292"/>
  <c r="E132" i="292"/>
  <c r="D132" i="292"/>
  <c r="C132" i="292"/>
  <c r="B132" i="292"/>
  <c r="A132" i="292"/>
  <c r="H131" i="292"/>
  <c r="G131" i="292"/>
  <c r="F131" i="292"/>
  <c r="E131" i="292"/>
  <c r="D131" i="292"/>
  <c r="C131" i="292"/>
  <c r="B131" i="292"/>
  <c r="A131" i="292"/>
  <c r="H130" i="292"/>
  <c r="G130" i="292"/>
  <c r="F130" i="292"/>
  <c r="E130" i="292"/>
  <c r="D130" i="292"/>
  <c r="C130" i="292"/>
  <c r="B130" i="292"/>
  <c r="A130" i="292"/>
  <c r="H129" i="292"/>
  <c r="G129" i="292"/>
  <c r="F129" i="292"/>
  <c r="E129" i="292"/>
  <c r="D129" i="292"/>
  <c r="C129" i="292"/>
  <c r="B129" i="292"/>
  <c r="A129" i="292"/>
  <c r="H128" i="292"/>
  <c r="G128" i="292"/>
  <c r="F128" i="292"/>
  <c r="E128" i="292"/>
  <c r="D128" i="292"/>
  <c r="C128" i="292"/>
  <c r="B128" i="292"/>
  <c r="A128" i="292"/>
  <c r="H127" i="292"/>
  <c r="G127" i="292"/>
  <c r="F127" i="292"/>
  <c r="E127" i="292"/>
  <c r="D127" i="292"/>
  <c r="C127" i="292"/>
  <c r="B127" i="292"/>
  <c r="A127" i="292"/>
  <c r="H126" i="292"/>
  <c r="G126" i="292"/>
  <c r="F126" i="292"/>
  <c r="E126" i="292"/>
  <c r="D126" i="292"/>
  <c r="C126" i="292"/>
  <c r="B126" i="292"/>
  <c r="A126" i="292"/>
  <c r="H125" i="292"/>
  <c r="G125" i="292"/>
  <c r="F125" i="292"/>
  <c r="E125" i="292"/>
  <c r="D125" i="292"/>
  <c r="C125" i="292"/>
  <c r="B125" i="292"/>
  <c r="A125" i="292"/>
  <c r="H124" i="292"/>
  <c r="G124" i="292"/>
  <c r="F124" i="292"/>
  <c r="E124" i="292"/>
  <c r="D124" i="292"/>
  <c r="C124" i="292"/>
  <c r="B124" i="292"/>
  <c r="A124" i="292"/>
  <c r="H123" i="292"/>
  <c r="G123" i="292"/>
  <c r="F123" i="292"/>
  <c r="E123" i="292"/>
  <c r="D123" i="292"/>
  <c r="C123" i="292"/>
  <c r="B123" i="292"/>
  <c r="A123" i="292"/>
  <c r="H122" i="292"/>
  <c r="G122" i="292"/>
  <c r="F122" i="292"/>
  <c r="E122" i="292"/>
  <c r="D122" i="292"/>
  <c r="C122" i="292"/>
  <c r="B122" i="292"/>
  <c r="A122" i="292"/>
  <c r="H121" i="292"/>
  <c r="G121" i="292"/>
  <c r="F121" i="292"/>
  <c r="E121" i="292"/>
  <c r="D121" i="292"/>
  <c r="C121" i="292"/>
  <c r="B121" i="292"/>
  <c r="A121" i="292"/>
  <c r="H120" i="292"/>
  <c r="G120" i="292"/>
  <c r="F120" i="292"/>
  <c r="E120" i="292"/>
  <c r="D120" i="292"/>
  <c r="C120" i="292"/>
  <c r="B120" i="292"/>
  <c r="A120" i="292"/>
  <c r="H119" i="292"/>
  <c r="G119" i="292"/>
  <c r="F119" i="292"/>
  <c r="E119" i="292"/>
  <c r="D119" i="292"/>
  <c r="C119" i="292"/>
  <c r="B119" i="292"/>
  <c r="A119" i="292"/>
  <c r="H118" i="292"/>
  <c r="G118" i="292"/>
  <c r="F118" i="292"/>
  <c r="E118" i="292"/>
  <c r="D118" i="292"/>
  <c r="C118" i="292"/>
  <c r="B118" i="292"/>
  <c r="A118" i="292"/>
  <c r="H117" i="292"/>
  <c r="G117" i="292"/>
  <c r="F117" i="292"/>
  <c r="E117" i="292"/>
  <c r="D117" i="292"/>
  <c r="C117" i="292"/>
  <c r="B117" i="292"/>
  <c r="A117" i="292"/>
  <c r="H116" i="292"/>
  <c r="G116" i="292"/>
  <c r="F116" i="292"/>
  <c r="E116" i="292"/>
  <c r="D116" i="292"/>
  <c r="C116" i="292"/>
  <c r="B116" i="292"/>
  <c r="A116" i="292"/>
  <c r="H115" i="292"/>
  <c r="G115" i="292"/>
  <c r="F115" i="292"/>
  <c r="E115" i="292"/>
  <c r="D115" i="292"/>
  <c r="C115" i="292"/>
  <c r="B115" i="292"/>
  <c r="A115" i="292"/>
  <c r="H114" i="292"/>
  <c r="G114" i="292"/>
  <c r="F114" i="292"/>
  <c r="E114" i="292"/>
  <c r="D114" i="292"/>
  <c r="C114" i="292"/>
  <c r="B114" i="292"/>
  <c r="A114" i="292"/>
  <c r="H113" i="292"/>
  <c r="G113" i="292"/>
  <c r="F113" i="292"/>
  <c r="E113" i="292"/>
  <c r="D113" i="292"/>
  <c r="C113" i="292"/>
  <c r="B113" i="292"/>
  <c r="A113" i="292"/>
  <c r="H112" i="292"/>
  <c r="G112" i="292"/>
  <c r="F112" i="292"/>
  <c r="E112" i="292"/>
  <c r="D112" i="292"/>
  <c r="C112" i="292"/>
  <c r="B112" i="292"/>
  <c r="A112" i="292"/>
  <c r="H111" i="292"/>
  <c r="G111" i="292"/>
  <c r="F111" i="292"/>
  <c r="E111" i="292"/>
  <c r="D111" i="292"/>
  <c r="C111" i="292"/>
  <c r="B111" i="292"/>
  <c r="A111" i="292"/>
  <c r="H110" i="292"/>
  <c r="G110" i="292"/>
  <c r="F110" i="292"/>
  <c r="E110" i="292"/>
  <c r="D110" i="292"/>
  <c r="C110" i="292"/>
  <c r="B110" i="292"/>
  <c r="A110" i="292"/>
  <c r="H109" i="292"/>
  <c r="G109" i="292"/>
  <c r="F109" i="292"/>
  <c r="E109" i="292"/>
  <c r="D109" i="292"/>
  <c r="C109" i="292"/>
  <c r="B109" i="292"/>
  <c r="A109" i="292"/>
  <c r="H108" i="292"/>
  <c r="G108" i="292"/>
  <c r="F108" i="292"/>
  <c r="E108" i="292"/>
  <c r="D108" i="292"/>
  <c r="C108" i="292"/>
  <c r="B108" i="292"/>
  <c r="A108" i="292"/>
  <c r="H107" i="292"/>
  <c r="G107" i="292"/>
  <c r="F107" i="292"/>
  <c r="E107" i="292"/>
  <c r="D107" i="292"/>
  <c r="C107" i="292"/>
  <c r="B107" i="292"/>
  <c r="A107" i="292"/>
  <c r="H106" i="292"/>
  <c r="G106" i="292"/>
  <c r="F106" i="292"/>
  <c r="E106" i="292"/>
  <c r="D106" i="292"/>
  <c r="C106" i="292"/>
  <c r="B106" i="292"/>
  <c r="A106" i="292"/>
  <c r="H105" i="292"/>
  <c r="G105" i="292"/>
  <c r="F105" i="292"/>
  <c r="E105" i="292"/>
  <c r="D105" i="292"/>
  <c r="C105" i="292"/>
  <c r="B105" i="292"/>
  <c r="A105" i="292"/>
  <c r="H104" i="292"/>
  <c r="G104" i="292"/>
  <c r="F104" i="292"/>
  <c r="E104" i="292"/>
  <c r="D104" i="292"/>
  <c r="C104" i="292"/>
  <c r="B104" i="292"/>
  <c r="A104" i="292"/>
  <c r="H103" i="292"/>
  <c r="G103" i="292"/>
  <c r="F103" i="292"/>
  <c r="E103" i="292"/>
  <c r="D103" i="292"/>
  <c r="C103" i="292"/>
  <c r="B103" i="292"/>
  <c r="A103" i="292"/>
  <c r="H102" i="292"/>
  <c r="G102" i="292"/>
  <c r="F102" i="292"/>
  <c r="E102" i="292"/>
  <c r="D102" i="292"/>
  <c r="C102" i="292"/>
  <c r="B102" i="292"/>
  <c r="A102" i="292"/>
  <c r="H101" i="292"/>
  <c r="G101" i="292"/>
  <c r="F101" i="292"/>
  <c r="E101" i="292"/>
  <c r="D101" i="292"/>
  <c r="C101" i="292"/>
  <c r="B101" i="292"/>
  <c r="A101" i="292"/>
  <c r="H100" i="292"/>
  <c r="G100" i="292"/>
  <c r="F100" i="292"/>
  <c r="E100" i="292"/>
  <c r="D100" i="292"/>
  <c r="C100" i="292"/>
  <c r="B100" i="292"/>
  <c r="A100" i="292"/>
  <c r="H99" i="292"/>
  <c r="G99" i="292"/>
  <c r="F99" i="292"/>
  <c r="E99" i="292"/>
  <c r="D99" i="292"/>
  <c r="C99" i="292"/>
  <c r="B99" i="292"/>
  <c r="A99" i="292"/>
  <c r="H98" i="292"/>
  <c r="G98" i="292"/>
  <c r="F98" i="292"/>
  <c r="E98" i="292"/>
  <c r="D98" i="292"/>
  <c r="C98" i="292"/>
  <c r="B98" i="292"/>
  <c r="A98" i="292"/>
  <c r="H97" i="292"/>
  <c r="G97" i="292"/>
  <c r="F97" i="292"/>
  <c r="E97" i="292"/>
  <c r="D97" i="292"/>
  <c r="C97" i="292"/>
  <c r="B97" i="292"/>
  <c r="A97" i="292"/>
  <c r="H96" i="292"/>
  <c r="G96" i="292"/>
  <c r="F96" i="292"/>
  <c r="E96" i="292"/>
  <c r="D96" i="292"/>
  <c r="C96" i="292"/>
  <c r="B96" i="292"/>
  <c r="A96" i="292"/>
  <c r="H95" i="292"/>
  <c r="G95" i="292"/>
  <c r="F95" i="292"/>
  <c r="E95" i="292"/>
  <c r="D95" i="292"/>
  <c r="C95" i="292"/>
  <c r="B95" i="292"/>
  <c r="A95" i="292"/>
  <c r="H94" i="292"/>
  <c r="G94" i="292"/>
  <c r="F94" i="292"/>
  <c r="E94" i="292"/>
  <c r="D94" i="292"/>
  <c r="C94" i="292"/>
  <c r="B94" i="292"/>
  <c r="A94" i="292"/>
  <c r="H93" i="292"/>
  <c r="G93" i="292"/>
  <c r="F93" i="292"/>
  <c r="E93" i="292"/>
  <c r="D93" i="292"/>
  <c r="C93" i="292"/>
  <c r="B93" i="292"/>
  <c r="A93" i="292"/>
  <c r="H92" i="292"/>
  <c r="G92" i="292"/>
  <c r="F92" i="292"/>
  <c r="E92" i="292"/>
  <c r="D92" i="292"/>
  <c r="C92" i="292"/>
  <c r="B92" i="292"/>
  <c r="A92" i="292"/>
  <c r="H91" i="292"/>
  <c r="G91" i="292"/>
  <c r="F91" i="292"/>
  <c r="E91" i="292"/>
  <c r="D91" i="292"/>
  <c r="C91" i="292"/>
  <c r="B91" i="292"/>
  <c r="A91" i="292"/>
  <c r="H90" i="292"/>
  <c r="G90" i="292"/>
  <c r="F90" i="292"/>
  <c r="E90" i="292"/>
  <c r="D90" i="292"/>
  <c r="C90" i="292"/>
  <c r="B90" i="292"/>
  <c r="A90" i="292"/>
  <c r="H89" i="292"/>
  <c r="G89" i="292"/>
  <c r="F89" i="292"/>
  <c r="E89" i="292"/>
  <c r="D89" i="292"/>
  <c r="C89" i="292"/>
  <c r="B89" i="292"/>
  <c r="A89" i="292"/>
  <c r="H88" i="292"/>
  <c r="G88" i="292"/>
  <c r="F88" i="292"/>
  <c r="E88" i="292"/>
  <c r="D88" i="292"/>
  <c r="C88" i="292"/>
  <c r="B88" i="292"/>
  <c r="A88" i="292"/>
  <c r="H87" i="292"/>
  <c r="G87" i="292"/>
  <c r="F87" i="292"/>
  <c r="E87" i="292"/>
  <c r="D87" i="292"/>
  <c r="C87" i="292"/>
  <c r="B87" i="292"/>
  <c r="A87" i="292"/>
  <c r="H86" i="292"/>
  <c r="G86" i="292"/>
  <c r="F86" i="292"/>
  <c r="E86" i="292"/>
  <c r="D86" i="292"/>
  <c r="C86" i="292"/>
  <c r="B86" i="292"/>
  <c r="A86" i="292"/>
  <c r="H85" i="292"/>
  <c r="G85" i="292"/>
  <c r="F85" i="292"/>
  <c r="E85" i="292"/>
  <c r="D85" i="292"/>
  <c r="C85" i="292"/>
  <c r="B85" i="292"/>
  <c r="A85" i="292"/>
  <c r="H84" i="292"/>
  <c r="G84" i="292"/>
  <c r="F84" i="292"/>
  <c r="E84" i="292"/>
  <c r="D84" i="292"/>
  <c r="C84" i="292"/>
  <c r="B84" i="292"/>
  <c r="A84" i="292"/>
  <c r="H83" i="292"/>
  <c r="G83" i="292"/>
  <c r="F83" i="292"/>
  <c r="E83" i="292"/>
  <c r="D83" i="292"/>
  <c r="C83" i="292"/>
  <c r="B83" i="292"/>
  <c r="A83" i="292"/>
  <c r="H82" i="292"/>
  <c r="G82" i="292"/>
  <c r="F82" i="292"/>
  <c r="E82" i="292"/>
  <c r="D82" i="292"/>
  <c r="C82" i="292"/>
  <c r="B82" i="292"/>
  <c r="A82" i="292"/>
  <c r="H81" i="292"/>
  <c r="G81" i="292"/>
  <c r="F81" i="292"/>
  <c r="E81" i="292"/>
  <c r="D81" i="292"/>
  <c r="C81" i="292"/>
  <c r="B81" i="292"/>
  <c r="A81" i="292"/>
  <c r="H80" i="292"/>
  <c r="G80" i="292"/>
  <c r="F80" i="292"/>
  <c r="E80" i="292"/>
  <c r="D80" i="292"/>
  <c r="C80" i="292"/>
  <c r="B80" i="292"/>
  <c r="A80" i="292"/>
  <c r="H79" i="292"/>
  <c r="G79" i="292"/>
  <c r="F79" i="292"/>
  <c r="E79" i="292"/>
  <c r="D79" i="292"/>
  <c r="C79" i="292"/>
  <c r="B79" i="292"/>
  <c r="A79" i="292"/>
  <c r="H78" i="292"/>
  <c r="G78" i="292"/>
  <c r="F78" i="292"/>
  <c r="E78" i="292"/>
  <c r="D78" i="292"/>
  <c r="C78" i="292"/>
  <c r="B78" i="292"/>
  <c r="A78" i="292"/>
  <c r="H77" i="292"/>
  <c r="G77" i="292"/>
  <c r="F77" i="292"/>
  <c r="E77" i="292"/>
  <c r="D77" i="292"/>
  <c r="C77" i="292"/>
  <c r="B77" i="292"/>
  <c r="A77" i="292"/>
  <c r="H76" i="292"/>
  <c r="G76" i="292"/>
  <c r="F76" i="292"/>
  <c r="E76" i="292"/>
  <c r="D76" i="292"/>
  <c r="C76" i="292"/>
  <c r="B76" i="292"/>
  <c r="A76" i="292"/>
  <c r="H75" i="292"/>
  <c r="G75" i="292"/>
  <c r="F75" i="292"/>
  <c r="E75" i="292"/>
  <c r="D75" i="292"/>
  <c r="C75" i="292"/>
  <c r="B75" i="292"/>
  <c r="A75" i="292"/>
  <c r="H74" i="292"/>
  <c r="G74" i="292"/>
  <c r="F74" i="292"/>
  <c r="E74" i="292"/>
  <c r="D74" i="292"/>
  <c r="C74" i="292"/>
  <c r="B74" i="292"/>
  <c r="A74" i="292"/>
  <c r="H73" i="292"/>
  <c r="G73" i="292"/>
  <c r="F73" i="292"/>
  <c r="E73" i="292"/>
  <c r="D73" i="292"/>
  <c r="C73" i="292"/>
  <c r="B73" i="292"/>
  <c r="A73" i="292"/>
  <c r="H72" i="292"/>
  <c r="G72" i="292"/>
  <c r="F72" i="292"/>
  <c r="E72" i="292"/>
  <c r="D72" i="292"/>
  <c r="C72" i="292"/>
  <c r="B72" i="292"/>
  <c r="A72" i="292"/>
  <c r="H71" i="292"/>
  <c r="G71" i="292"/>
  <c r="F71" i="292"/>
  <c r="E71" i="292"/>
  <c r="D71" i="292"/>
  <c r="C71" i="292"/>
  <c r="B71" i="292"/>
  <c r="A71" i="292"/>
  <c r="I15" i="292"/>
  <c r="I16" i="292"/>
  <c r="N1" i="292" s="1"/>
  <c r="N4" i="292" s="1"/>
  <c r="N11" i="292"/>
  <c r="N10" i="292"/>
  <c r="N12" i="292" s="1"/>
  <c r="J247" i="3" s="1"/>
  <c r="I13" i="291"/>
  <c r="I14" i="291" s="1"/>
  <c r="K246" i="3"/>
  <c r="H246" i="3" s="1"/>
  <c r="N246" i="3" s="1"/>
  <c r="E9" i="291"/>
  <c r="E10" i="291"/>
  <c r="I15" i="290"/>
  <c r="I17" i="290" s="1"/>
  <c r="N1" i="290" s="1"/>
  <c r="N4" i="290" s="1"/>
  <c r="C13" i="285" s="1"/>
  <c r="E13" i="285" s="1"/>
  <c r="I14" i="290"/>
  <c r="J10" i="290"/>
  <c r="M10" i="290"/>
  <c r="N10" i="290" s="1"/>
  <c r="N11" i="290"/>
  <c r="J245" i="3"/>
  <c r="I15" i="289"/>
  <c r="I14" i="289"/>
  <c r="I17" i="289" s="1"/>
  <c r="K244" i="3" s="1"/>
  <c r="J10" i="289"/>
  <c r="M10" i="289" s="1"/>
  <c r="N10" i="289" s="1"/>
  <c r="N11" i="289" s="1"/>
  <c r="I15" i="288"/>
  <c r="I14" i="288"/>
  <c r="J10" i="288"/>
  <c r="M10" i="288"/>
  <c r="N10" i="288"/>
  <c r="N11" i="288"/>
  <c r="I15" i="287"/>
  <c r="I14" i="287"/>
  <c r="J10" i="287"/>
  <c r="M10" i="287" s="1"/>
  <c r="N10" i="287" s="1"/>
  <c r="N11" i="287" s="1"/>
  <c r="J242" i="3"/>
  <c r="I15" i="286"/>
  <c r="I14" i="286"/>
  <c r="J10" i="286"/>
  <c r="M10" i="286" s="1"/>
  <c r="N10" i="286" s="1"/>
  <c r="N11" i="286" s="1"/>
  <c r="J241" i="3"/>
  <c r="I48" i="285"/>
  <c r="I49" i="285"/>
  <c r="M240" i="3" s="1"/>
  <c r="J44" i="285"/>
  <c r="J43" i="285"/>
  <c r="J42" i="285"/>
  <c r="J41" i="285"/>
  <c r="J40" i="285"/>
  <c r="I36" i="285"/>
  <c r="I35" i="285"/>
  <c r="I34" i="285"/>
  <c r="I33" i="285"/>
  <c r="I32" i="285"/>
  <c r="F31" i="285"/>
  <c r="I31" i="285" s="1"/>
  <c r="I30" i="285"/>
  <c r="I29" i="285"/>
  <c r="I28" i="285"/>
  <c r="I27" i="285"/>
  <c r="I26" i="285"/>
  <c r="I25" i="285"/>
  <c r="I24" i="285"/>
  <c r="I37" i="285" s="1"/>
  <c r="K240" i="3" s="1"/>
  <c r="I23" i="285"/>
  <c r="N19" i="285"/>
  <c r="N18" i="285"/>
  <c r="N20" i="285" s="1"/>
  <c r="J240" i="3" s="1"/>
  <c r="N17" i="285"/>
  <c r="H208" i="284"/>
  <c r="G208" i="284"/>
  <c r="F208" i="284"/>
  <c r="E208" i="284"/>
  <c r="D208" i="284"/>
  <c r="C208" i="284"/>
  <c r="B208" i="284"/>
  <c r="A208" i="284"/>
  <c r="H207" i="284"/>
  <c r="G207" i="284"/>
  <c r="F207" i="284"/>
  <c r="E207" i="284"/>
  <c r="D207" i="284"/>
  <c r="C207" i="284"/>
  <c r="B207" i="284"/>
  <c r="A207" i="284"/>
  <c r="H206" i="284"/>
  <c r="G206" i="284"/>
  <c r="F206" i="284"/>
  <c r="E206" i="284"/>
  <c r="D206" i="284"/>
  <c r="C206" i="284"/>
  <c r="B206" i="284"/>
  <c r="A206" i="284"/>
  <c r="H205" i="284"/>
  <c r="G205" i="284"/>
  <c r="F205" i="284"/>
  <c r="E205" i="284"/>
  <c r="D205" i="284"/>
  <c r="C205" i="284"/>
  <c r="B205" i="284"/>
  <c r="A205" i="284"/>
  <c r="H204" i="284"/>
  <c r="G204" i="284"/>
  <c r="F204" i="284"/>
  <c r="E204" i="284"/>
  <c r="D204" i="284"/>
  <c r="C204" i="284"/>
  <c r="B204" i="284"/>
  <c r="A204" i="284"/>
  <c r="H203" i="284"/>
  <c r="G203" i="284"/>
  <c r="F203" i="284"/>
  <c r="E203" i="284"/>
  <c r="D203" i="284"/>
  <c r="C203" i="284"/>
  <c r="B203" i="284"/>
  <c r="A203" i="284"/>
  <c r="H202" i="284"/>
  <c r="G202" i="284"/>
  <c r="F202" i="284"/>
  <c r="E202" i="284"/>
  <c r="D202" i="284"/>
  <c r="C202" i="284"/>
  <c r="B202" i="284"/>
  <c r="A202" i="284"/>
  <c r="H201" i="284"/>
  <c r="G201" i="284"/>
  <c r="F201" i="284"/>
  <c r="E201" i="284"/>
  <c r="D201" i="284"/>
  <c r="C201" i="284"/>
  <c r="B201" i="284"/>
  <c r="A201" i="284"/>
  <c r="H200" i="284"/>
  <c r="G200" i="284"/>
  <c r="F200" i="284"/>
  <c r="E200" i="284"/>
  <c r="D200" i="284"/>
  <c r="C200" i="284"/>
  <c r="B200" i="284"/>
  <c r="A200" i="284"/>
  <c r="H199" i="284"/>
  <c r="G199" i="284"/>
  <c r="F199" i="284"/>
  <c r="E199" i="284"/>
  <c r="D199" i="284"/>
  <c r="C199" i="284"/>
  <c r="B199" i="284"/>
  <c r="A199" i="284"/>
  <c r="H198" i="284"/>
  <c r="G198" i="284"/>
  <c r="F198" i="284"/>
  <c r="E198" i="284"/>
  <c r="D198" i="284"/>
  <c r="C198" i="284"/>
  <c r="B198" i="284"/>
  <c r="A198" i="284"/>
  <c r="H197" i="284"/>
  <c r="G197" i="284"/>
  <c r="F197" i="284"/>
  <c r="E197" i="284"/>
  <c r="D197" i="284"/>
  <c r="C197" i="284"/>
  <c r="B197" i="284"/>
  <c r="A197" i="284"/>
  <c r="H196" i="284"/>
  <c r="G196" i="284"/>
  <c r="F196" i="284"/>
  <c r="E196" i="284"/>
  <c r="D196" i="284"/>
  <c r="C196" i="284"/>
  <c r="B196" i="284"/>
  <c r="A196" i="284"/>
  <c r="H195" i="284"/>
  <c r="G195" i="284"/>
  <c r="F195" i="284"/>
  <c r="E195" i="284"/>
  <c r="D195" i="284"/>
  <c r="C195" i="284"/>
  <c r="B195" i="284"/>
  <c r="A195" i="284"/>
  <c r="H194" i="284"/>
  <c r="G194" i="284"/>
  <c r="F194" i="284"/>
  <c r="E194" i="284"/>
  <c r="D194" i="284"/>
  <c r="C194" i="284"/>
  <c r="B194" i="284"/>
  <c r="A194" i="284"/>
  <c r="H193" i="284"/>
  <c r="G193" i="284"/>
  <c r="F193" i="284"/>
  <c r="E193" i="284"/>
  <c r="D193" i="284"/>
  <c r="C193" i="284"/>
  <c r="B193" i="284"/>
  <c r="A193" i="284"/>
  <c r="H192" i="284"/>
  <c r="G192" i="284"/>
  <c r="F192" i="284"/>
  <c r="E192" i="284"/>
  <c r="D192" i="284"/>
  <c r="C192" i="284"/>
  <c r="B192" i="284"/>
  <c r="A192" i="284"/>
  <c r="H191" i="284"/>
  <c r="G191" i="284"/>
  <c r="F191" i="284"/>
  <c r="E191" i="284"/>
  <c r="D191" i="284"/>
  <c r="C191" i="284"/>
  <c r="B191" i="284"/>
  <c r="A191" i="284"/>
  <c r="H190" i="284"/>
  <c r="G190" i="284"/>
  <c r="F190" i="284"/>
  <c r="E190" i="284"/>
  <c r="D190" i="284"/>
  <c r="C190" i="284"/>
  <c r="B190" i="284"/>
  <c r="A190" i="284"/>
  <c r="H189" i="284"/>
  <c r="G189" i="284"/>
  <c r="F189" i="284"/>
  <c r="E189" i="284"/>
  <c r="D189" i="284"/>
  <c r="C189" i="284"/>
  <c r="B189" i="284"/>
  <c r="A189" i="284"/>
  <c r="H188" i="284"/>
  <c r="G188" i="284"/>
  <c r="F188" i="284"/>
  <c r="E188" i="284"/>
  <c r="D188" i="284"/>
  <c r="C188" i="284"/>
  <c r="B188" i="284"/>
  <c r="A188" i="284"/>
  <c r="H187" i="284"/>
  <c r="G187" i="284"/>
  <c r="F187" i="284"/>
  <c r="E187" i="284"/>
  <c r="D187" i="284"/>
  <c r="C187" i="284"/>
  <c r="B187" i="284"/>
  <c r="A187" i="284"/>
  <c r="H186" i="284"/>
  <c r="G186" i="284"/>
  <c r="F186" i="284"/>
  <c r="E186" i="284"/>
  <c r="D186" i="284"/>
  <c r="C186" i="284"/>
  <c r="B186" i="284"/>
  <c r="A186" i="284"/>
  <c r="H185" i="284"/>
  <c r="G185" i="284"/>
  <c r="F185" i="284"/>
  <c r="E185" i="284"/>
  <c r="D185" i="284"/>
  <c r="C185" i="284"/>
  <c r="B185" i="284"/>
  <c r="A185" i="284"/>
  <c r="H184" i="284"/>
  <c r="G184" i="284"/>
  <c r="F184" i="284"/>
  <c r="E184" i="284"/>
  <c r="D184" i="284"/>
  <c r="C184" i="284"/>
  <c r="B184" i="284"/>
  <c r="A184" i="284"/>
  <c r="H183" i="284"/>
  <c r="G183" i="284"/>
  <c r="F183" i="284"/>
  <c r="E183" i="284"/>
  <c r="D183" i="284"/>
  <c r="C183" i="284"/>
  <c r="B183" i="284"/>
  <c r="A183" i="284"/>
  <c r="H182" i="284"/>
  <c r="G182" i="284"/>
  <c r="F182" i="284"/>
  <c r="E182" i="284"/>
  <c r="D182" i="284"/>
  <c r="C182" i="284"/>
  <c r="B182" i="284"/>
  <c r="A182" i="284"/>
  <c r="H181" i="284"/>
  <c r="G181" i="284"/>
  <c r="F181" i="284"/>
  <c r="E181" i="284"/>
  <c r="D181" i="284"/>
  <c r="C181" i="284"/>
  <c r="B181" i="284"/>
  <c r="A181" i="284"/>
  <c r="H180" i="284"/>
  <c r="G180" i="284"/>
  <c r="F180" i="284"/>
  <c r="E180" i="284"/>
  <c r="D180" i="284"/>
  <c r="C180" i="284"/>
  <c r="B180" i="284"/>
  <c r="A180" i="284"/>
  <c r="H179" i="284"/>
  <c r="G179" i="284"/>
  <c r="F179" i="284"/>
  <c r="E179" i="284"/>
  <c r="D179" i="284"/>
  <c r="C179" i="284"/>
  <c r="B179" i="284"/>
  <c r="A179" i="284"/>
  <c r="H178" i="284"/>
  <c r="G178" i="284"/>
  <c r="F178" i="284"/>
  <c r="E178" i="284"/>
  <c r="D178" i="284"/>
  <c r="C178" i="284"/>
  <c r="B178" i="284"/>
  <c r="A178" i="284"/>
  <c r="H177" i="284"/>
  <c r="G177" i="284"/>
  <c r="F177" i="284"/>
  <c r="E177" i="284"/>
  <c r="D177" i="284"/>
  <c r="C177" i="284"/>
  <c r="B177" i="284"/>
  <c r="A177" i="284"/>
  <c r="H176" i="284"/>
  <c r="G176" i="284"/>
  <c r="F176" i="284"/>
  <c r="E176" i="284"/>
  <c r="D176" i="284"/>
  <c r="C176" i="284"/>
  <c r="B176" i="284"/>
  <c r="A176" i="284"/>
  <c r="H175" i="284"/>
  <c r="G175" i="284"/>
  <c r="F175" i="284"/>
  <c r="E175" i="284"/>
  <c r="D175" i="284"/>
  <c r="C175" i="284"/>
  <c r="B175" i="284"/>
  <c r="A175" i="284"/>
  <c r="H174" i="284"/>
  <c r="G174" i="284"/>
  <c r="F174" i="284"/>
  <c r="E174" i="284"/>
  <c r="D174" i="284"/>
  <c r="C174" i="284"/>
  <c r="B174" i="284"/>
  <c r="A174" i="284"/>
  <c r="H173" i="284"/>
  <c r="G173" i="284"/>
  <c r="F173" i="284"/>
  <c r="E173" i="284"/>
  <c r="D173" i="284"/>
  <c r="C173" i="284"/>
  <c r="B173" i="284"/>
  <c r="A173" i="284"/>
  <c r="H172" i="284"/>
  <c r="G172" i="284"/>
  <c r="F172" i="284"/>
  <c r="E172" i="284"/>
  <c r="D172" i="284"/>
  <c r="C172" i="284"/>
  <c r="B172" i="284"/>
  <c r="A172" i="284"/>
  <c r="H171" i="284"/>
  <c r="G171" i="284"/>
  <c r="F171" i="284"/>
  <c r="E171" i="284"/>
  <c r="D171" i="284"/>
  <c r="C171" i="284"/>
  <c r="B171" i="284"/>
  <c r="A171" i="284"/>
  <c r="H170" i="284"/>
  <c r="G170" i="284"/>
  <c r="F170" i="284"/>
  <c r="E170" i="284"/>
  <c r="D170" i="284"/>
  <c r="C170" i="284"/>
  <c r="B170" i="284"/>
  <c r="A170" i="284"/>
  <c r="H169" i="284"/>
  <c r="G169" i="284"/>
  <c r="F169" i="284"/>
  <c r="E169" i="284"/>
  <c r="D169" i="284"/>
  <c r="C169" i="284"/>
  <c r="B169" i="284"/>
  <c r="A169" i="284"/>
  <c r="H168" i="284"/>
  <c r="G168" i="284"/>
  <c r="F168" i="284"/>
  <c r="E168" i="284"/>
  <c r="D168" i="284"/>
  <c r="C168" i="284"/>
  <c r="B168" i="284"/>
  <c r="A168" i="284"/>
  <c r="H167" i="284"/>
  <c r="G167" i="284"/>
  <c r="F167" i="284"/>
  <c r="E167" i="284"/>
  <c r="D167" i="284"/>
  <c r="C167" i="284"/>
  <c r="B167" i="284"/>
  <c r="A167" i="284"/>
  <c r="H166" i="284"/>
  <c r="G166" i="284"/>
  <c r="F166" i="284"/>
  <c r="E166" i="284"/>
  <c r="D166" i="284"/>
  <c r="C166" i="284"/>
  <c r="B166" i="284"/>
  <c r="A166" i="284"/>
  <c r="H165" i="284"/>
  <c r="G165" i="284"/>
  <c r="F165" i="284"/>
  <c r="E165" i="284"/>
  <c r="D165" i="284"/>
  <c r="C165" i="284"/>
  <c r="B165" i="284"/>
  <c r="A165" i="284"/>
  <c r="H164" i="284"/>
  <c r="G164" i="284"/>
  <c r="F164" i="284"/>
  <c r="E164" i="284"/>
  <c r="D164" i="284"/>
  <c r="C164" i="284"/>
  <c r="B164" i="284"/>
  <c r="A164" i="284"/>
  <c r="H163" i="284"/>
  <c r="G163" i="284"/>
  <c r="F163" i="284"/>
  <c r="E163" i="284"/>
  <c r="D163" i="284"/>
  <c r="C163" i="284"/>
  <c r="B163" i="284"/>
  <c r="A163" i="284"/>
  <c r="H162" i="284"/>
  <c r="G162" i="284"/>
  <c r="F162" i="284"/>
  <c r="E162" i="284"/>
  <c r="D162" i="284"/>
  <c r="C162" i="284"/>
  <c r="B162" i="284"/>
  <c r="A162" i="284"/>
  <c r="H161" i="284"/>
  <c r="G161" i="284"/>
  <c r="F161" i="284"/>
  <c r="E161" i="284"/>
  <c r="D161" i="284"/>
  <c r="C161" i="284"/>
  <c r="B161" i="284"/>
  <c r="A161" i="284"/>
  <c r="H160" i="284"/>
  <c r="G160" i="284"/>
  <c r="F160" i="284"/>
  <c r="E160" i="284"/>
  <c r="D160" i="284"/>
  <c r="C160" i="284"/>
  <c r="B160" i="284"/>
  <c r="A160" i="284"/>
  <c r="H159" i="284"/>
  <c r="G159" i="284"/>
  <c r="F159" i="284"/>
  <c r="E159" i="284"/>
  <c r="D159" i="284"/>
  <c r="C159" i="284"/>
  <c r="B159" i="284"/>
  <c r="A159" i="284"/>
  <c r="H158" i="284"/>
  <c r="G158" i="284"/>
  <c r="F158" i="284"/>
  <c r="E158" i="284"/>
  <c r="D158" i="284"/>
  <c r="C158" i="284"/>
  <c r="B158" i="284"/>
  <c r="A158" i="284"/>
  <c r="H157" i="284"/>
  <c r="G157" i="284"/>
  <c r="F157" i="284"/>
  <c r="E157" i="284"/>
  <c r="D157" i="284"/>
  <c r="C157" i="284"/>
  <c r="B157" i="284"/>
  <c r="A157" i="284"/>
  <c r="H156" i="284"/>
  <c r="G156" i="284"/>
  <c r="F156" i="284"/>
  <c r="E156" i="284"/>
  <c r="D156" i="284"/>
  <c r="C156" i="284"/>
  <c r="B156" i="284"/>
  <c r="A156" i="284"/>
  <c r="H155" i="284"/>
  <c r="G155" i="284"/>
  <c r="F155" i="284"/>
  <c r="E155" i="284"/>
  <c r="D155" i="284"/>
  <c r="C155" i="284"/>
  <c r="B155" i="284"/>
  <c r="A155" i="284"/>
  <c r="H154" i="284"/>
  <c r="G154" i="284"/>
  <c r="F154" i="284"/>
  <c r="E154" i="284"/>
  <c r="D154" i="284"/>
  <c r="C154" i="284"/>
  <c r="B154" i="284"/>
  <c r="A154" i="284"/>
  <c r="H153" i="284"/>
  <c r="G153" i="284"/>
  <c r="F153" i="284"/>
  <c r="E153" i="284"/>
  <c r="D153" i="284"/>
  <c r="C153" i="284"/>
  <c r="B153" i="284"/>
  <c r="A153" i="284"/>
  <c r="H152" i="284"/>
  <c r="G152" i="284"/>
  <c r="F152" i="284"/>
  <c r="E152" i="284"/>
  <c r="D152" i="284"/>
  <c r="C152" i="284"/>
  <c r="B152" i="284"/>
  <c r="A152" i="284"/>
  <c r="H151" i="284"/>
  <c r="G151" i="284"/>
  <c r="F151" i="284"/>
  <c r="E151" i="284"/>
  <c r="D151" i="284"/>
  <c r="C151" i="284"/>
  <c r="B151" i="284"/>
  <c r="A151" i="284"/>
  <c r="H150" i="284"/>
  <c r="G150" i="284"/>
  <c r="F150" i="284"/>
  <c r="E150" i="284"/>
  <c r="D150" i="284"/>
  <c r="C150" i="284"/>
  <c r="B150" i="284"/>
  <c r="A150" i="284"/>
  <c r="H149" i="284"/>
  <c r="G149" i="284"/>
  <c r="F149" i="284"/>
  <c r="E149" i="284"/>
  <c r="D149" i="284"/>
  <c r="C149" i="284"/>
  <c r="B149" i="284"/>
  <c r="A149" i="284"/>
  <c r="H148" i="284"/>
  <c r="G148" i="284"/>
  <c r="F148" i="284"/>
  <c r="E148" i="284"/>
  <c r="D148" i="284"/>
  <c r="C148" i="284"/>
  <c r="B148" i="284"/>
  <c r="A148" i="284"/>
  <c r="H147" i="284"/>
  <c r="G147" i="284"/>
  <c r="F147" i="284"/>
  <c r="E147" i="284"/>
  <c r="D147" i="284"/>
  <c r="C147" i="284"/>
  <c r="B147" i="284"/>
  <c r="A147" i="284"/>
  <c r="H146" i="284"/>
  <c r="G146" i="284"/>
  <c r="F146" i="284"/>
  <c r="E146" i="284"/>
  <c r="D146" i="284"/>
  <c r="C146" i="284"/>
  <c r="B146" i="284"/>
  <c r="A146" i="284"/>
  <c r="H145" i="284"/>
  <c r="G145" i="284"/>
  <c r="F145" i="284"/>
  <c r="E145" i="284"/>
  <c r="D145" i="284"/>
  <c r="C145" i="284"/>
  <c r="B145" i="284"/>
  <c r="A145" i="284"/>
  <c r="H144" i="284"/>
  <c r="G144" i="284"/>
  <c r="F144" i="284"/>
  <c r="E144" i="284"/>
  <c r="D144" i="284"/>
  <c r="C144" i="284"/>
  <c r="B144" i="284"/>
  <c r="A144" i="284"/>
  <c r="H143" i="284"/>
  <c r="G143" i="284"/>
  <c r="F143" i="284"/>
  <c r="E143" i="284"/>
  <c r="D143" i="284"/>
  <c r="C143" i="284"/>
  <c r="B143" i="284"/>
  <c r="A143" i="284"/>
  <c r="H142" i="284"/>
  <c r="G142" i="284"/>
  <c r="F142" i="284"/>
  <c r="E142" i="284"/>
  <c r="D142" i="284"/>
  <c r="C142" i="284"/>
  <c r="B142" i="284"/>
  <c r="A142" i="284"/>
  <c r="H141" i="284"/>
  <c r="G141" i="284"/>
  <c r="F141" i="284"/>
  <c r="E141" i="284"/>
  <c r="D141" i="284"/>
  <c r="C141" i="284"/>
  <c r="B141" i="284"/>
  <c r="A141" i="284"/>
  <c r="H140" i="284"/>
  <c r="G140" i="284"/>
  <c r="F140" i="284"/>
  <c r="E140" i="284"/>
  <c r="D140" i="284"/>
  <c r="C140" i="284"/>
  <c r="B140" i="284"/>
  <c r="A140" i="284"/>
  <c r="H139" i="284"/>
  <c r="G139" i="284"/>
  <c r="F139" i="284"/>
  <c r="E139" i="284"/>
  <c r="D139" i="284"/>
  <c r="C139" i="284"/>
  <c r="B139" i="284"/>
  <c r="A139" i="284"/>
  <c r="H138" i="284"/>
  <c r="G138" i="284"/>
  <c r="F138" i="284"/>
  <c r="E138" i="284"/>
  <c r="D138" i="284"/>
  <c r="C138" i="284"/>
  <c r="B138" i="284"/>
  <c r="A138" i="284"/>
  <c r="H137" i="284"/>
  <c r="G137" i="284"/>
  <c r="F137" i="284"/>
  <c r="E137" i="284"/>
  <c r="D137" i="284"/>
  <c r="C137" i="284"/>
  <c r="B137" i="284"/>
  <c r="A137" i="284"/>
  <c r="H136" i="284"/>
  <c r="G136" i="284"/>
  <c r="F136" i="284"/>
  <c r="E136" i="284"/>
  <c r="D136" i="284"/>
  <c r="C136" i="284"/>
  <c r="B136" i="284"/>
  <c r="A136" i="284"/>
  <c r="H135" i="284"/>
  <c r="G135" i="284"/>
  <c r="F135" i="284"/>
  <c r="E135" i="284"/>
  <c r="D135" i="284"/>
  <c r="C135" i="284"/>
  <c r="B135" i="284"/>
  <c r="A135" i="284"/>
  <c r="H134" i="284"/>
  <c r="G134" i="284"/>
  <c r="F134" i="284"/>
  <c r="E134" i="284"/>
  <c r="D134" i="284"/>
  <c r="C134" i="284"/>
  <c r="B134" i="284"/>
  <c r="A134" i="284"/>
  <c r="H133" i="284"/>
  <c r="G133" i="284"/>
  <c r="F133" i="284"/>
  <c r="E133" i="284"/>
  <c r="D133" i="284"/>
  <c r="C133" i="284"/>
  <c r="B133" i="284"/>
  <c r="A133" i="284"/>
  <c r="H132" i="284"/>
  <c r="G132" i="284"/>
  <c r="F132" i="284"/>
  <c r="E132" i="284"/>
  <c r="D132" i="284"/>
  <c r="C132" i="284"/>
  <c r="B132" i="284"/>
  <c r="A132" i="284"/>
  <c r="H131" i="284"/>
  <c r="G131" i="284"/>
  <c r="F131" i="284"/>
  <c r="E131" i="284"/>
  <c r="D131" i="284"/>
  <c r="C131" i="284"/>
  <c r="B131" i="284"/>
  <c r="A131" i="284"/>
  <c r="H130" i="284"/>
  <c r="G130" i="284"/>
  <c r="F130" i="284"/>
  <c r="E130" i="284"/>
  <c r="D130" i="284"/>
  <c r="C130" i="284"/>
  <c r="B130" i="284"/>
  <c r="A130" i="284"/>
  <c r="H129" i="284"/>
  <c r="G129" i="284"/>
  <c r="F129" i="284"/>
  <c r="E129" i="284"/>
  <c r="D129" i="284"/>
  <c r="C129" i="284"/>
  <c r="B129" i="284"/>
  <c r="A129" i="284"/>
  <c r="H128" i="284"/>
  <c r="G128" i="284"/>
  <c r="F128" i="284"/>
  <c r="E128" i="284"/>
  <c r="D128" i="284"/>
  <c r="C128" i="284"/>
  <c r="B128" i="284"/>
  <c r="A128" i="284"/>
  <c r="H127" i="284"/>
  <c r="G127" i="284"/>
  <c r="F127" i="284"/>
  <c r="E127" i="284"/>
  <c r="D127" i="284"/>
  <c r="C127" i="284"/>
  <c r="B127" i="284"/>
  <c r="A127" i="284"/>
  <c r="H126" i="284"/>
  <c r="G126" i="284"/>
  <c r="F126" i="284"/>
  <c r="E126" i="284"/>
  <c r="D126" i="284"/>
  <c r="C126" i="284"/>
  <c r="B126" i="284"/>
  <c r="A126" i="284"/>
  <c r="H125" i="284"/>
  <c r="G125" i="284"/>
  <c r="F125" i="284"/>
  <c r="E125" i="284"/>
  <c r="D125" i="284"/>
  <c r="C125" i="284"/>
  <c r="B125" i="284"/>
  <c r="A125" i="284"/>
  <c r="H124" i="284"/>
  <c r="G124" i="284"/>
  <c r="F124" i="284"/>
  <c r="E124" i="284"/>
  <c r="D124" i="284"/>
  <c r="C124" i="284"/>
  <c r="B124" i="284"/>
  <c r="A124" i="284"/>
  <c r="H123" i="284"/>
  <c r="G123" i="284"/>
  <c r="F123" i="284"/>
  <c r="E123" i="284"/>
  <c r="D123" i="284"/>
  <c r="C123" i="284"/>
  <c r="B123" i="284"/>
  <c r="A123" i="284"/>
  <c r="H122" i="284"/>
  <c r="G122" i="284"/>
  <c r="F122" i="284"/>
  <c r="E122" i="284"/>
  <c r="D122" i="284"/>
  <c r="C122" i="284"/>
  <c r="B122" i="284"/>
  <c r="A122" i="284"/>
  <c r="H121" i="284"/>
  <c r="G121" i="284"/>
  <c r="F121" i="284"/>
  <c r="E121" i="284"/>
  <c r="D121" i="284"/>
  <c r="C121" i="284"/>
  <c r="B121" i="284"/>
  <c r="A121" i="284"/>
  <c r="H120" i="284"/>
  <c r="G120" i="284"/>
  <c r="F120" i="284"/>
  <c r="E120" i="284"/>
  <c r="D120" i="284"/>
  <c r="C120" i="284"/>
  <c r="B120" i="284"/>
  <c r="A120" i="284"/>
  <c r="H119" i="284"/>
  <c r="G119" i="284"/>
  <c r="F119" i="284"/>
  <c r="E119" i="284"/>
  <c r="D119" i="284"/>
  <c r="C119" i="284"/>
  <c r="B119" i="284"/>
  <c r="A119" i="284"/>
  <c r="H118" i="284"/>
  <c r="G118" i="284"/>
  <c r="F118" i="284"/>
  <c r="E118" i="284"/>
  <c r="D118" i="284"/>
  <c r="C118" i="284"/>
  <c r="B118" i="284"/>
  <c r="A118" i="284"/>
  <c r="H117" i="284"/>
  <c r="G117" i="284"/>
  <c r="F117" i="284"/>
  <c r="E117" i="284"/>
  <c r="D117" i="284"/>
  <c r="C117" i="284"/>
  <c r="B117" i="284"/>
  <c r="A117" i="284"/>
  <c r="H116" i="284"/>
  <c r="G116" i="284"/>
  <c r="F116" i="284"/>
  <c r="E116" i="284"/>
  <c r="D116" i="284"/>
  <c r="C116" i="284"/>
  <c r="B116" i="284"/>
  <c r="A116" i="284"/>
  <c r="H115" i="284"/>
  <c r="G115" i="284"/>
  <c r="F115" i="284"/>
  <c r="E115" i="284"/>
  <c r="D115" i="284"/>
  <c r="C115" i="284"/>
  <c r="B115" i="284"/>
  <c r="A115" i="284"/>
  <c r="H114" i="284"/>
  <c r="G114" i="284"/>
  <c r="F114" i="284"/>
  <c r="E114" i="284"/>
  <c r="D114" i="284"/>
  <c r="C114" i="284"/>
  <c r="B114" i="284"/>
  <c r="A114" i="284"/>
  <c r="H113" i="284"/>
  <c r="G113" i="284"/>
  <c r="F113" i="284"/>
  <c r="E113" i="284"/>
  <c r="D113" i="284"/>
  <c r="C113" i="284"/>
  <c r="B113" i="284"/>
  <c r="A113" i="284"/>
  <c r="H112" i="284"/>
  <c r="G112" i="284"/>
  <c r="F112" i="284"/>
  <c r="E112" i="284"/>
  <c r="D112" i="284"/>
  <c r="C112" i="284"/>
  <c r="B112" i="284"/>
  <c r="A112" i="284"/>
  <c r="H111" i="284"/>
  <c r="G111" i="284"/>
  <c r="F111" i="284"/>
  <c r="E111" i="284"/>
  <c r="D111" i="284"/>
  <c r="C111" i="284"/>
  <c r="B111" i="284"/>
  <c r="A111" i="284"/>
  <c r="H110" i="284"/>
  <c r="G110" i="284"/>
  <c r="F110" i="284"/>
  <c r="E110" i="284"/>
  <c r="D110" i="284"/>
  <c r="C110" i="284"/>
  <c r="B110" i="284"/>
  <c r="A110" i="284"/>
  <c r="H109" i="284"/>
  <c r="G109" i="284"/>
  <c r="F109" i="284"/>
  <c r="E109" i="284"/>
  <c r="D109" i="284"/>
  <c r="C109" i="284"/>
  <c r="B109" i="284"/>
  <c r="A109" i="284"/>
  <c r="H108" i="284"/>
  <c r="G108" i="284"/>
  <c r="F108" i="284"/>
  <c r="E108" i="284"/>
  <c r="D108" i="284"/>
  <c r="C108" i="284"/>
  <c r="B108" i="284"/>
  <c r="A108" i="284"/>
  <c r="H107" i="284"/>
  <c r="G107" i="284"/>
  <c r="F107" i="284"/>
  <c r="E107" i="284"/>
  <c r="D107" i="284"/>
  <c r="C107" i="284"/>
  <c r="B107" i="284"/>
  <c r="A107" i="284"/>
  <c r="H106" i="284"/>
  <c r="G106" i="284"/>
  <c r="F106" i="284"/>
  <c r="E106" i="284"/>
  <c r="D106" i="284"/>
  <c r="C106" i="284"/>
  <c r="B106" i="284"/>
  <c r="A106" i="284"/>
  <c r="H105" i="284"/>
  <c r="G105" i="284"/>
  <c r="F105" i="284"/>
  <c r="E105" i="284"/>
  <c r="D105" i="284"/>
  <c r="C105" i="284"/>
  <c r="B105" i="284"/>
  <c r="A105" i="284"/>
  <c r="H104" i="284"/>
  <c r="G104" i="284"/>
  <c r="F104" i="284"/>
  <c r="E104" i="284"/>
  <c r="D104" i="284"/>
  <c r="C104" i="284"/>
  <c r="B104" i="284"/>
  <c r="A104" i="284"/>
  <c r="H103" i="284"/>
  <c r="G103" i="284"/>
  <c r="F103" i="284"/>
  <c r="E103" i="284"/>
  <c r="D103" i="284"/>
  <c r="C103" i="284"/>
  <c r="B103" i="284"/>
  <c r="A103" i="284"/>
  <c r="H102" i="284"/>
  <c r="G102" i="284"/>
  <c r="F102" i="284"/>
  <c r="E102" i="284"/>
  <c r="D102" i="284"/>
  <c r="C102" i="284"/>
  <c r="B102" i="284"/>
  <c r="A102" i="284"/>
  <c r="H101" i="284"/>
  <c r="G101" i="284"/>
  <c r="F101" i="284"/>
  <c r="E101" i="284"/>
  <c r="D101" i="284"/>
  <c r="C101" i="284"/>
  <c r="B101" i="284"/>
  <c r="A101" i="284"/>
  <c r="H100" i="284"/>
  <c r="G100" i="284"/>
  <c r="F100" i="284"/>
  <c r="E100" i="284"/>
  <c r="D100" i="284"/>
  <c r="C100" i="284"/>
  <c r="B100" i="284"/>
  <c r="A100" i="284"/>
  <c r="H99" i="284"/>
  <c r="G99" i="284"/>
  <c r="F99" i="284"/>
  <c r="E99" i="284"/>
  <c r="D99" i="284"/>
  <c r="C99" i="284"/>
  <c r="B99" i="284"/>
  <c r="A99" i="284"/>
  <c r="H98" i="284"/>
  <c r="G98" i="284"/>
  <c r="F98" i="284"/>
  <c r="E98" i="284"/>
  <c r="D98" i="284"/>
  <c r="C98" i="284"/>
  <c r="B98" i="284"/>
  <c r="A98" i="284"/>
  <c r="H97" i="284"/>
  <c r="G97" i="284"/>
  <c r="F97" i="284"/>
  <c r="E97" i="284"/>
  <c r="D97" i="284"/>
  <c r="C97" i="284"/>
  <c r="B97" i="284"/>
  <c r="A97" i="284"/>
  <c r="H96" i="284"/>
  <c r="G96" i="284"/>
  <c r="F96" i="284"/>
  <c r="E96" i="284"/>
  <c r="D96" i="284"/>
  <c r="C96" i="284"/>
  <c r="B96" i="284"/>
  <c r="A96" i="284"/>
  <c r="H95" i="284"/>
  <c r="G95" i="284"/>
  <c r="F95" i="284"/>
  <c r="E95" i="284"/>
  <c r="D95" i="284"/>
  <c r="C95" i="284"/>
  <c r="B95" i="284"/>
  <c r="A95" i="284"/>
  <c r="H94" i="284"/>
  <c r="G94" i="284"/>
  <c r="F94" i="284"/>
  <c r="E94" i="284"/>
  <c r="D94" i="284"/>
  <c r="C94" i="284"/>
  <c r="B94" i="284"/>
  <c r="A94" i="284"/>
  <c r="H93" i="284"/>
  <c r="G93" i="284"/>
  <c r="F93" i="284"/>
  <c r="E93" i="284"/>
  <c r="D93" i="284"/>
  <c r="C93" i="284"/>
  <c r="B93" i="284"/>
  <c r="A93" i="284"/>
  <c r="H92" i="284"/>
  <c r="G92" i="284"/>
  <c r="F92" i="284"/>
  <c r="E92" i="284"/>
  <c r="D92" i="284"/>
  <c r="C92" i="284"/>
  <c r="B92" i="284"/>
  <c r="A92" i="284"/>
  <c r="H91" i="284"/>
  <c r="G91" i="284"/>
  <c r="F91" i="284"/>
  <c r="E91" i="284"/>
  <c r="D91" i="284"/>
  <c r="C91" i="284"/>
  <c r="B91" i="284"/>
  <c r="A91" i="284"/>
  <c r="H90" i="284"/>
  <c r="G90" i="284"/>
  <c r="F90" i="284"/>
  <c r="E90" i="284"/>
  <c r="D90" i="284"/>
  <c r="C90" i="284"/>
  <c r="B90" i="284"/>
  <c r="A90" i="284"/>
  <c r="H89" i="284"/>
  <c r="G89" i="284"/>
  <c r="F89" i="284"/>
  <c r="E89" i="284"/>
  <c r="D89" i="284"/>
  <c r="C89" i="284"/>
  <c r="B89" i="284"/>
  <c r="A89" i="284"/>
  <c r="H88" i="284"/>
  <c r="G88" i="284"/>
  <c r="F88" i="284"/>
  <c r="E88" i="284"/>
  <c r="D88" i="284"/>
  <c r="C88" i="284"/>
  <c r="B88" i="284"/>
  <c r="A88" i="284"/>
  <c r="H87" i="284"/>
  <c r="G87" i="284"/>
  <c r="F87" i="284"/>
  <c r="E87" i="284"/>
  <c r="D87" i="284"/>
  <c r="C87" i="284"/>
  <c r="B87" i="284"/>
  <c r="A87" i="284"/>
  <c r="H86" i="284"/>
  <c r="G86" i="284"/>
  <c r="F86" i="284"/>
  <c r="E86" i="284"/>
  <c r="D86" i="284"/>
  <c r="C86" i="284"/>
  <c r="B86" i="284"/>
  <c r="A86" i="284"/>
  <c r="H85" i="284"/>
  <c r="G85" i="284"/>
  <c r="F85" i="284"/>
  <c r="E85" i="284"/>
  <c r="D85" i="284"/>
  <c r="C85" i="284"/>
  <c r="B85" i="284"/>
  <c r="A85" i="284"/>
  <c r="H84" i="284"/>
  <c r="G84" i="284"/>
  <c r="F84" i="284"/>
  <c r="E84" i="284"/>
  <c r="D84" i="284"/>
  <c r="C84" i="284"/>
  <c r="B84" i="284"/>
  <c r="A84" i="284"/>
  <c r="H83" i="284"/>
  <c r="G83" i="284"/>
  <c r="F83" i="284"/>
  <c r="E83" i="284"/>
  <c r="D83" i="284"/>
  <c r="C83" i="284"/>
  <c r="B83" i="284"/>
  <c r="A83" i="284"/>
  <c r="H82" i="284"/>
  <c r="G82" i="284"/>
  <c r="F82" i="284"/>
  <c r="E82" i="284"/>
  <c r="D82" i="284"/>
  <c r="C82" i="284"/>
  <c r="B82" i="284"/>
  <c r="A82" i="284"/>
  <c r="H81" i="284"/>
  <c r="G81" i="284"/>
  <c r="F81" i="284"/>
  <c r="E81" i="284"/>
  <c r="D81" i="284"/>
  <c r="C81" i="284"/>
  <c r="B81" i="284"/>
  <c r="A81" i="284"/>
  <c r="H80" i="284"/>
  <c r="G80" i="284"/>
  <c r="F80" i="284"/>
  <c r="E80" i="284"/>
  <c r="D80" i="284"/>
  <c r="C80" i="284"/>
  <c r="B80" i="284"/>
  <c r="A80" i="284"/>
  <c r="H79" i="284"/>
  <c r="G79" i="284"/>
  <c r="F79" i="284"/>
  <c r="E79" i="284"/>
  <c r="D79" i="284"/>
  <c r="C79" i="284"/>
  <c r="B79" i="284"/>
  <c r="A79" i="284"/>
  <c r="H78" i="284"/>
  <c r="G78" i="284"/>
  <c r="F78" i="284"/>
  <c r="E78" i="284"/>
  <c r="D78" i="284"/>
  <c r="C78" i="284"/>
  <c r="B78" i="284"/>
  <c r="A78" i="284"/>
  <c r="H77" i="284"/>
  <c r="G77" i="284"/>
  <c r="F77" i="284"/>
  <c r="E77" i="284"/>
  <c r="D77" i="284"/>
  <c r="C77" i="284"/>
  <c r="B77" i="284"/>
  <c r="A77" i="284"/>
  <c r="H76" i="284"/>
  <c r="G76" i="284"/>
  <c r="F76" i="284"/>
  <c r="E76" i="284"/>
  <c r="D76" i="284"/>
  <c r="C76" i="284"/>
  <c r="B76" i="284"/>
  <c r="A76" i="284"/>
  <c r="H75" i="284"/>
  <c r="G75" i="284"/>
  <c r="F75" i="284"/>
  <c r="E75" i="284"/>
  <c r="D75" i="284"/>
  <c r="C75" i="284"/>
  <c r="B75" i="284"/>
  <c r="A75" i="284"/>
  <c r="H74" i="284"/>
  <c r="G74" i="284"/>
  <c r="F74" i="284"/>
  <c r="E74" i="284"/>
  <c r="D74" i="284"/>
  <c r="C74" i="284"/>
  <c r="B74" i="284"/>
  <c r="A74" i="284"/>
  <c r="H73" i="284"/>
  <c r="G73" i="284"/>
  <c r="F73" i="284"/>
  <c r="E73" i="284"/>
  <c r="D73" i="284"/>
  <c r="C73" i="284"/>
  <c r="B73" i="284"/>
  <c r="A73" i="284"/>
  <c r="H72" i="284"/>
  <c r="G72" i="284"/>
  <c r="F72" i="284"/>
  <c r="E72" i="284"/>
  <c r="D72" i="284"/>
  <c r="C72" i="284"/>
  <c r="B72" i="284"/>
  <c r="A72" i="284"/>
  <c r="H71" i="284"/>
  <c r="G71" i="284"/>
  <c r="F71" i="284"/>
  <c r="E71" i="284"/>
  <c r="D71" i="284"/>
  <c r="C71" i="284"/>
  <c r="B71" i="284"/>
  <c r="A71" i="284"/>
  <c r="I15" i="284"/>
  <c r="I14" i="284"/>
  <c r="J10" i="284"/>
  <c r="M10" i="284"/>
  <c r="N10" i="284" s="1"/>
  <c r="N11" i="284" s="1"/>
  <c r="I31" i="283"/>
  <c r="I32" i="283" s="1"/>
  <c r="M238" i="3" s="1"/>
  <c r="H238" i="3" s="1"/>
  <c r="N238" i="3" s="1"/>
  <c r="J27" i="283"/>
  <c r="J26" i="283"/>
  <c r="J25" i="283"/>
  <c r="I21" i="283"/>
  <c r="I18" i="283"/>
  <c r="I17" i="283"/>
  <c r="N13" i="283"/>
  <c r="N14" i="283"/>
  <c r="J238" i="3"/>
  <c r="I16" i="280"/>
  <c r="I15" i="280"/>
  <c r="I14" i="280"/>
  <c r="J10" i="280"/>
  <c r="N10" i="280"/>
  <c r="N11" i="280" s="1"/>
  <c r="J237" i="3"/>
  <c r="I15" i="279"/>
  <c r="I14" i="279"/>
  <c r="I16" i="279" s="1"/>
  <c r="J10" i="279"/>
  <c r="N10" i="279"/>
  <c r="N11" i="279"/>
  <c r="J236" i="3" s="1"/>
  <c r="I15" i="278"/>
  <c r="I14" i="278"/>
  <c r="J10" i="278"/>
  <c r="N10" i="278" s="1"/>
  <c r="N11" i="278" s="1"/>
  <c r="J235" i="3"/>
  <c r="I15" i="277"/>
  <c r="I14" i="277"/>
  <c r="J10" i="277"/>
  <c r="N10" i="277" s="1"/>
  <c r="N11" i="277"/>
  <c r="J234" i="3"/>
  <c r="I15" i="276"/>
  <c r="I14" i="276"/>
  <c r="J10" i="276"/>
  <c r="N10" i="276" s="1"/>
  <c r="N11" i="276" s="1"/>
  <c r="I15" i="275"/>
  <c r="I14" i="275"/>
  <c r="J10" i="275"/>
  <c r="N10" i="275"/>
  <c r="N11" i="275" s="1"/>
  <c r="J232" i="3" s="1"/>
  <c r="H232" i="3" s="1"/>
  <c r="N232" i="3" s="1"/>
  <c r="I15" i="274"/>
  <c r="I16" i="274" s="1"/>
  <c r="I14" i="274"/>
  <c r="J10" i="274"/>
  <c r="N10" i="274"/>
  <c r="N11" i="274" s="1"/>
  <c r="J231" i="3"/>
  <c r="I15" i="273"/>
  <c r="I14" i="273"/>
  <c r="J10" i="273"/>
  <c r="N10" i="273"/>
  <c r="N11" i="273" s="1"/>
  <c r="I16" i="272"/>
  <c r="I15" i="272"/>
  <c r="I14" i="272"/>
  <c r="J10" i="272"/>
  <c r="N10" i="272"/>
  <c r="N11" i="272" s="1"/>
  <c r="J229" i="3" s="1"/>
  <c r="I16" i="271"/>
  <c r="I17" i="271" s="1"/>
  <c r="I15" i="271"/>
  <c r="I14" i="271"/>
  <c r="J10" i="271"/>
  <c r="N10" i="271"/>
  <c r="N11" i="271" s="1"/>
  <c r="J228" i="3" s="1"/>
  <c r="I17" i="270"/>
  <c r="I16" i="270"/>
  <c r="I18" i="270" s="1"/>
  <c r="K227" i="3" s="1"/>
  <c r="I15" i="270"/>
  <c r="I14" i="270"/>
  <c r="J10" i="270"/>
  <c r="N10" i="270"/>
  <c r="N11" i="270" s="1"/>
  <c r="J227" i="3"/>
  <c r="I17" i="269"/>
  <c r="I16" i="269"/>
  <c r="I18" i="269" s="1"/>
  <c r="I15" i="269"/>
  <c r="I14" i="269"/>
  <c r="J10" i="269"/>
  <c r="N10" i="269"/>
  <c r="N11" i="269" s="1"/>
  <c r="J226" i="3"/>
  <c r="I17" i="268"/>
  <c r="I16" i="268"/>
  <c r="I18" i="268" s="1"/>
  <c r="I15" i="268"/>
  <c r="I14" i="268"/>
  <c r="J10" i="268"/>
  <c r="N10" i="268"/>
  <c r="N11" i="268" s="1"/>
  <c r="J225" i="3"/>
  <c r="I17" i="267"/>
  <c r="I16" i="267"/>
  <c r="I18" i="267" s="1"/>
  <c r="K224" i="3" s="1"/>
  <c r="I15" i="267"/>
  <c r="I14" i="267"/>
  <c r="J10" i="267"/>
  <c r="N10" i="267"/>
  <c r="N11" i="267" s="1"/>
  <c r="J224" i="3"/>
  <c r="I17" i="265"/>
  <c r="I16" i="265"/>
  <c r="I18" i="265" s="1"/>
  <c r="I15" i="265"/>
  <c r="I14" i="265"/>
  <c r="J10" i="265"/>
  <c r="N10" i="265"/>
  <c r="N11" i="265" s="1"/>
  <c r="J223" i="3" s="1"/>
  <c r="I57" i="264"/>
  <c r="I58" i="264"/>
  <c r="M222" i="3" s="1"/>
  <c r="J53" i="264"/>
  <c r="J52" i="264"/>
  <c r="J51" i="264"/>
  <c r="J50" i="264"/>
  <c r="J54" i="264" s="1"/>
  <c r="I46" i="264"/>
  <c r="I45" i="264"/>
  <c r="I44" i="264"/>
  <c r="I43" i="264"/>
  <c r="I42" i="264"/>
  <c r="I41" i="264"/>
  <c r="I40" i="264"/>
  <c r="I39" i="264"/>
  <c r="I38" i="264"/>
  <c r="I37" i="264"/>
  <c r="I36" i="264"/>
  <c r="I35" i="264"/>
  <c r="I34" i="264"/>
  <c r="I33" i="264"/>
  <c r="I32" i="264"/>
  <c r="N28" i="264"/>
  <c r="N27" i="264"/>
  <c r="I112" i="259"/>
  <c r="I16" i="262"/>
  <c r="I15" i="262"/>
  <c r="I14" i="262"/>
  <c r="J10" i="262"/>
  <c r="N10" i="262"/>
  <c r="N11" i="262"/>
  <c r="J220" i="3" s="1"/>
  <c r="I16" i="261"/>
  <c r="F15" i="261"/>
  <c r="I15" i="261" s="1"/>
  <c r="I14" i="261"/>
  <c r="I17" i="261" s="1"/>
  <c r="J10" i="261"/>
  <c r="N10" i="261" s="1"/>
  <c r="N11" i="261" s="1"/>
  <c r="J219" i="3" s="1"/>
  <c r="I15" i="260"/>
  <c r="H14" i="260"/>
  <c r="I14" i="260" s="1"/>
  <c r="I16" i="260" s="1"/>
  <c r="J10" i="260"/>
  <c r="N10" i="260"/>
  <c r="N11" i="260"/>
  <c r="I129" i="259"/>
  <c r="I130" i="259"/>
  <c r="M217" i="3" s="1"/>
  <c r="J125" i="259"/>
  <c r="J124" i="259"/>
  <c r="J123" i="259"/>
  <c r="J122" i="259"/>
  <c r="J121" i="259"/>
  <c r="J120" i="259"/>
  <c r="J119" i="259"/>
  <c r="J118" i="259"/>
  <c r="J117" i="259"/>
  <c r="I113" i="259"/>
  <c r="I111" i="259"/>
  <c r="I110" i="259"/>
  <c r="I109" i="259"/>
  <c r="I108" i="259"/>
  <c r="I107" i="259"/>
  <c r="I106" i="259"/>
  <c r="I105" i="259"/>
  <c r="I104" i="259"/>
  <c r="I103" i="259"/>
  <c r="I102" i="259"/>
  <c r="I101" i="259"/>
  <c r="I100" i="259"/>
  <c r="I99" i="259"/>
  <c r="I98" i="259"/>
  <c r="I97" i="259"/>
  <c r="I96" i="259"/>
  <c r="I95" i="259"/>
  <c r="I94" i="259"/>
  <c r="I93" i="259"/>
  <c r="I92" i="259"/>
  <c r="I91" i="259"/>
  <c r="I90" i="259"/>
  <c r="I89" i="259"/>
  <c r="I88" i="259"/>
  <c r="I87" i="259"/>
  <c r="I86" i="259"/>
  <c r="I85" i="259"/>
  <c r="I84" i="259"/>
  <c r="I83" i="259"/>
  <c r="I82" i="259"/>
  <c r="F81" i="259"/>
  <c r="I81" i="259"/>
  <c r="I80" i="259"/>
  <c r="I114" i="259" s="1"/>
  <c r="K217" i="3" s="1"/>
  <c r="F79" i="259"/>
  <c r="I79" i="259" s="1"/>
  <c r="I78" i="259"/>
  <c r="I77" i="259"/>
  <c r="N73" i="259"/>
  <c r="N72" i="259"/>
  <c r="N71" i="259"/>
  <c r="N70" i="259"/>
  <c r="N69" i="259"/>
  <c r="E68" i="259"/>
  <c r="N68" i="259"/>
  <c r="E67" i="259"/>
  <c r="N67" i="259" s="1"/>
  <c r="E66" i="259"/>
  <c r="N66" i="259"/>
  <c r="E65" i="259"/>
  <c r="N65" i="259"/>
  <c r="E64" i="259"/>
  <c r="N64" i="259"/>
  <c r="E63" i="259"/>
  <c r="N63" i="259" s="1"/>
  <c r="N62" i="259"/>
  <c r="N61" i="259"/>
  <c r="N60" i="259"/>
  <c r="N59" i="259"/>
  <c r="N58" i="259"/>
  <c r="N57" i="259"/>
  <c r="N56" i="259"/>
  <c r="N55" i="259"/>
  <c r="N54" i="259"/>
  <c r="N53" i="259"/>
  <c r="N52" i="259"/>
  <c r="N51" i="259"/>
  <c r="N50" i="259"/>
  <c r="N49" i="259"/>
  <c r="N48" i="259"/>
  <c r="N47" i="259"/>
  <c r="N46" i="259"/>
  <c r="N45" i="259"/>
  <c r="N44" i="259"/>
  <c r="N43" i="259"/>
  <c r="N42" i="259"/>
  <c r="N41" i="259"/>
  <c r="N40" i="259"/>
  <c r="N39" i="259"/>
  <c r="N38" i="259"/>
  <c r="N37" i="259"/>
  <c r="N36" i="259"/>
  <c r="N35" i="259"/>
  <c r="N34" i="259"/>
  <c r="N33" i="259"/>
  <c r="N32" i="259"/>
  <c r="N31" i="259"/>
  <c r="N30" i="259"/>
  <c r="N29" i="259"/>
  <c r="N28" i="259"/>
  <c r="N27" i="259"/>
  <c r="N25" i="259"/>
  <c r="N24" i="259"/>
  <c r="N23" i="259"/>
  <c r="N22" i="259"/>
  <c r="N21" i="259"/>
  <c r="N20" i="259"/>
  <c r="N19" i="259"/>
  <c r="N18" i="259"/>
  <c r="N17" i="259"/>
  <c r="N16" i="259"/>
  <c r="N15" i="259"/>
  <c r="I65" i="255"/>
  <c r="I66" i="255"/>
  <c r="N34" i="255"/>
  <c r="I16" i="257"/>
  <c r="I15" i="257"/>
  <c r="I14" i="257"/>
  <c r="J10" i="257"/>
  <c r="N10" i="257"/>
  <c r="N11" i="257" s="1"/>
  <c r="J216" i="3" s="1"/>
  <c r="F42" i="255"/>
  <c r="I42" i="255" s="1"/>
  <c r="I15" i="256"/>
  <c r="I14" i="256"/>
  <c r="J10" i="256"/>
  <c r="N10" i="256" s="1"/>
  <c r="N11" i="256" s="1"/>
  <c r="I78" i="255"/>
  <c r="I79" i="255"/>
  <c r="M214" i="3" s="1"/>
  <c r="J74" i="255"/>
  <c r="J73" i="255"/>
  <c r="J72" i="255"/>
  <c r="J71" i="255"/>
  <c r="J70" i="255"/>
  <c r="I64" i="255"/>
  <c r="I63" i="255"/>
  <c r="I62" i="255"/>
  <c r="I61" i="255"/>
  <c r="I60" i="255"/>
  <c r="I59" i="255"/>
  <c r="I58" i="255"/>
  <c r="I57" i="255"/>
  <c r="I56" i="255"/>
  <c r="I55" i="255"/>
  <c r="I54" i="255"/>
  <c r="I53" i="255"/>
  <c r="I52" i="255"/>
  <c r="I51" i="255"/>
  <c r="I50" i="255"/>
  <c r="I49" i="255"/>
  <c r="I48" i="255"/>
  <c r="I47" i="255"/>
  <c r="I46" i="255"/>
  <c r="I45" i="255"/>
  <c r="I44" i="255"/>
  <c r="I43" i="255"/>
  <c r="I41" i="255"/>
  <c r="I39" i="255"/>
  <c r="I38" i="255"/>
  <c r="E33" i="255"/>
  <c r="N32" i="255"/>
  <c r="N31" i="255"/>
  <c r="N30" i="255"/>
  <c r="N29" i="255"/>
  <c r="N28" i="255"/>
  <c r="N27" i="255"/>
  <c r="N26" i="255"/>
  <c r="N25" i="255"/>
  <c r="N24" i="255"/>
  <c r="N23" i="255"/>
  <c r="N22" i="255"/>
  <c r="N21" i="255"/>
  <c r="N20" i="255"/>
  <c r="N19" i="255"/>
  <c r="N18" i="255"/>
  <c r="N17" i="255"/>
  <c r="N16" i="255"/>
  <c r="N15" i="255"/>
  <c r="N14" i="255"/>
  <c r="I43" i="249"/>
  <c r="J51" i="249"/>
  <c r="I15" i="254"/>
  <c r="I16" i="254" s="1"/>
  <c r="N11" i="254"/>
  <c r="N10" i="254"/>
  <c r="N26" i="249"/>
  <c r="I16" i="253"/>
  <c r="I17" i="253" s="1"/>
  <c r="N1" i="253" s="1"/>
  <c r="C12" i="249" s="1"/>
  <c r="E12" i="249" s="1"/>
  <c r="I15" i="253"/>
  <c r="I14" i="253"/>
  <c r="J10" i="253"/>
  <c r="N10" i="253"/>
  <c r="N11" i="253"/>
  <c r="J212" i="3" s="1"/>
  <c r="I16" i="252"/>
  <c r="I17" i="252"/>
  <c r="K210" i="3" s="1"/>
  <c r="N12" i="252"/>
  <c r="N13" i="252" s="1"/>
  <c r="N11" i="252"/>
  <c r="N10" i="252"/>
  <c r="I15" i="251"/>
  <c r="I16" i="251" s="1"/>
  <c r="H14" i="251"/>
  <c r="I14" i="251" s="1"/>
  <c r="J10" i="251"/>
  <c r="N10" i="251"/>
  <c r="N11" i="251"/>
  <c r="J211" i="3"/>
  <c r="I16" i="250"/>
  <c r="I15" i="250"/>
  <c r="I14" i="250"/>
  <c r="J10" i="250"/>
  <c r="N10" i="250"/>
  <c r="N11" i="250"/>
  <c r="J209" i="3"/>
  <c r="I55" i="249"/>
  <c r="I56" i="249" s="1"/>
  <c r="M208" i="3" s="1"/>
  <c r="J50" i="249"/>
  <c r="J49" i="249"/>
  <c r="J48" i="249"/>
  <c r="J47" i="249"/>
  <c r="I42" i="249"/>
  <c r="I41" i="249"/>
  <c r="I40" i="249"/>
  <c r="I39" i="249"/>
  <c r="I38" i="249"/>
  <c r="I37" i="249"/>
  <c r="I36" i="249"/>
  <c r="I35" i="249"/>
  <c r="I34" i="249"/>
  <c r="I33" i="249"/>
  <c r="I44" i="249" s="1"/>
  <c r="K208" i="3" s="1"/>
  <c r="F32" i="249"/>
  <c r="I32" i="249"/>
  <c r="I31" i="249"/>
  <c r="N27" i="249"/>
  <c r="N25" i="249"/>
  <c r="N24" i="249"/>
  <c r="N23" i="249"/>
  <c r="N22" i="249"/>
  <c r="N21" i="249"/>
  <c r="N20" i="249"/>
  <c r="N19" i="249"/>
  <c r="N18" i="249"/>
  <c r="N17" i="249"/>
  <c r="I15" i="248"/>
  <c r="I14" i="248"/>
  <c r="I16" i="248" s="1"/>
  <c r="K207" i="3" s="1"/>
  <c r="J10" i="248"/>
  <c r="N10" i="248" s="1"/>
  <c r="N11" i="248"/>
  <c r="J207" i="3" s="1"/>
  <c r="I22" i="247"/>
  <c r="I23" i="247"/>
  <c r="M206" i="3" s="1"/>
  <c r="I18" i="247"/>
  <c r="I17" i="247"/>
  <c r="I16" i="247"/>
  <c r="I15" i="247"/>
  <c r="N11" i="247"/>
  <c r="J10" i="247"/>
  <c r="N10" i="247" s="1"/>
  <c r="N12" i="247" s="1"/>
  <c r="J206" i="3" s="1"/>
  <c r="I15" i="246"/>
  <c r="I16" i="246" s="1"/>
  <c r="I14" i="246"/>
  <c r="J10" i="246"/>
  <c r="N10" i="246"/>
  <c r="N11" i="246" s="1"/>
  <c r="J205" i="3" s="1"/>
  <c r="I62" i="245"/>
  <c r="I63" i="245" s="1"/>
  <c r="M204" i="3" s="1"/>
  <c r="J58" i="245"/>
  <c r="J57" i="245"/>
  <c r="J56" i="245"/>
  <c r="J55" i="245"/>
  <c r="J54" i="245"/>
  <c r="J53" i="245"/>
  <c r="J52" i="245"/>
  <c r="J51" i="245"/>
  <c r="J50" i="245"/>
  <c r="J49" i="245"/>
  <c r="I45" i="245"/>
  <c r="I44" i="245"/>
  <c r="I43" i="245"/>
  <c r="I42" i="245"/>
  <c r="I41" i="245"/>
  <c r="I40" i="245"/>
  <c r="I39" i="245"/>
  <c r="I38" i="245"/>
  <c r="I37" i="245"/>
  <c r="I36" i="245"/>
  <c r="I35" i="245"/>
  <c r="I34" i="245"/>
  <c r="I33" i="245"/>
  <c r="I32" i="245"/>
  <c r="I31" i="245"/>
  <c r="I46" i="245" s="1"/>
  <c r="I30" i="245"/>
  <c r="I29" i="245"/>
  <c r="I28" i="245"/>
  <c r="N24" i="245"/>
  <c r="N23" i="245"/>
  <c r="N22" i="245"/>
  <c r="N21" i="245"/>
  <c r="N20" i="245"/>
  <c r="N19" i="245"/>
  <c r="N18" i="245"/>
  <c r="N17" i="245"/>
  <c r="N16" i="245"/>
  <c r="N15" i="245"/>
  <c r="I15" i="241"/>
  <c r="I16" i="241" s="1"/>
  <c r="I14" i="241"/>
  <c r="J10" i="241"/>
  <c r="N10" i="241" s="1"/>
  <c r="N11" i="241" s="1"/>
  <c r="J202" i="3" s="1"/>
  <c r="I16" i="240"/>
  <c r="F15" i="240"/>
  <c r="I15" i="240" s="1"/>
  <c r="I17" i="240" s="1"/>
  <c r="I14" i="240"/>
  <c r="J10" i="240"/>
  <c r="N10" i="240" s="1"/>
  <c r="N11" i="240" s="1"/>
  <c r="J201" i="3" s="1"/>
  <c r="I24" i="239"/>
  <c r="I25" i="239" s="1"/>
  <c r="M200" i="3" s="1"/>
  <c r="I20" i="239"/>
  <c r="I19" i="239"/>
  <c r="I18" i="239"/>
  <c r="I17" i="239"/>
  <c r="I16" i="239"/>
  <c r="I15" i="239"/>
  <c r="J11" i="239"/>
  <c r="J10" i="239"/>
  <c r="N10" i="239"/>
  <c r="N12" i="239"/>
  <c r="J200" i="3"/>
  <c r="I24" i="238"/>
  <c r="I25" i="238" s="1"/>
  <c r="M199" i="3" s="1"/>
  <c r="I20" i="238"/>
  <c r="I19" i="238"/>
  <c r="I18" i="238"/>
  <c r="I17" i="238"/>
  <c r="I16" i="238"/>
  <c r="I15" i="238"/>
  <c r="J11" i="238"/>
  <c r="J10" i="238"/>
  <c r="N10" i="238"/>
  <c r="N12" i="238" s="1"/>
  <c r="J199" i="3" s="1"/>
  <c r="I16" i="237"/>
  <c r="I15" i="237"/>
  <c r="I14" i="237"/>
  <c r="J10" i="237"/>
  <c r="N10" i="237"/>
  <c r="N11" i="237"/>
  <c r="J198" i="3" s="1"/>
  <c r="I16" i="236"/>
  <c r="I15" i="236"/>
  <c r="I14" i="236"/>
  <c r="J10" i="236"/>
  <c r="N10" i="236" s="1"/>
  <c r="N11" i="236" s="1"/>
  <c r="I16" i="235"/>
  <c r="I15" i="235"/>
  <c r="I17" i="235" s="1"/>
  <c r="N1" i="235" s="1"/>
  <c r="I14" i="235"/>
  <c r="J10" i="235"/>
  <c r="N10" i="235"/>
  <c r="N11" i="235" s="1"/>
  <c r="J196" i="3"/>
  <c r="I16" i="234"/>
  <c r="I15" i="234"/>
  <c r="I14" i="234"/>
  <c r="J10" i="234"/>
  <c r="N10" i="234" s="1"/>
  <c r="N11" i="234" s="1"/>
  <c r="J195" i="3" s="1"/>
  <c r="I16" i="233"/>
  <c r="I15" i="233"/>
  <c r="I14" i="233"/>
  <c r="J10" i="233"/>
  <c r="N10" i="233"/>
  <c r="N11" i="233" s="1"/>
  <c r="J194" i="3" s="1"/>
  <c r="I16" i="232"/>
  <c r="I15" i="232"/>
  <c r="I14" i="232"/>
  <c r="J10" i="232"/>
  <c r="N10" i="232" s="1"/>
  <c r="N11" i="232"/>
  <c r="J193" i="3"/>
  <c r="I16" i="231"/>
  <c r="I15" i="231"/>
  <c r="I14" i="231"/>
  <c r="J10" i="231"/>
  <c r="N10" i="231"/>
  <c r="N11" i="231" s="1"/>
  <c r="J192" i="3" s="1"/>
  <c r="I16" i="230"/>
  <c r="I15" i="230"/>
  <c r="I14" i="230"/>
  <c r="J10" i="230"/>
  <c r="N10" i="230" s="1"/>
  <c r="N11" i="230" s="1"/>
  <c r="J191" i="3" s="1"/>
  <c r="I16" i="229"/>
  <c r="I15" i="229"/>
  <c r="I14" i="229"/>
  <c r="J10" i="229"/>
  <c r="N10" i="229"/>
  <c r="N11" i="229" s="1"/>
  <c r="I16" i="228"/>
  <c r="I15" i="228"/>
  <c r="I14" i="228"/>
  <c r="J10" i="228"/>
  <c r="N10" i="228" s="1"/>
  <c r="N11" i="228" s="1"/>
  <c r="J189" i="3" s="1"/>
  <c r="I24" i="227"/>
  <c r="I23" i="227"/>
  <c r="I22" i="227"/>
  <c r="I21" i="227"/>
  <c r="I20" i="227"/>
  <c r="I25" i="227" s="1"/>
  <c r="K188" i="3" s="1"/>
  <c r="I19" i="227"/>
  <c r="I18" i="227"/>
  <c r="I17" i="227"/>
  <c r="N13" i="227"/>
  <c r="J12" i="227"/>
  <c r="N12" i="227"/>
  <c r="J11" i="227"/>
  <c r="N11" i="227"/>
  <c r="N14" i="227" s="1"/>
  <c r="J10" i="227"/>
  <c r="N10" i="227"/>
  <c r="I16" i="226"/>
  <c r="I15" i="226"/>
  <c r="I14" i="226"/>
  <c r="J10" i="226"/>
  <c r="N10" i="226"/>
  <c r="N11" i="226"/>
  <c r="J187" i="3" s="1"/>
  <c r="I16" i="225"/>
  <c r="I15" i="225"/>
  <c r="I14" i="225"/>
  <c r="J10" i="225"/>
  <c r="N10" i="225"/>
  <c r="N11" i="225"/>
  <c r="J186" i="3"/>
  <c r="I16" i="224"/>
  <c r="I15" i="224"/>
  <c r="I14" i="224"/>
  <c r="J10" i="224"/>
  <c r="N10" i="224" s="1"/>
  <c r="N11" i="224" s="1"/>
  <c r="J185" i="3"/>
  <c r="I53" i="223"/>
  <c r="I52" i="223"/>
  <c r="I51" i="223"/>
  <c r="I50" i="223"/>
  <c r="I49" i="223"/>
  <c r="I48" i="223"/>
  <c r="I47" i="223"/>
  <c r="I46" i="223"/>
  <c r="I45" i="223"/>
  <c r="I44" i="223"/>
  <c r="I43" i="223"/>
  <c r="I42" i="223"/>
  <c r="I41" i="223"/>
  <c r="I40" i="223"/>
  <c r="I39" i="223"/>
  <c r="I38" i="223"/>
  <c r="I37" i="223"/>
  <c r="I36" i="223"/>
  <c r="I35" i="223"/>
  <c r="I34" i="223"/>
  <c r="I33" i="223"/>
  <c r="I32" i="223"/>
  <c r="I31" i="223"/>
  <c r="I30" i="223"/>
  <c r="I29" i="223"/>
  <c r="I28" i="223"/>
  <c r="I27" i="223"/>
  <c r="N23" i="223"/>
  <c r="N22" i="223"/>
  <c r="N21" i="223"/>
  <c r="N20" i="223"/>
  <c r="N19" i="223"/>
  <c r="J19" i="223"/>
  <c r="N18" i="223"/>
  <c r="J18" i="223"/>
  <c r="N17" i="223"/>
  <c r="N16" i="223"/>
  <c r="N15" i="223"/>
  <c r="N14" i="223"/>
  <c r="N13" i="223"/>
  <c r="N12" i="223"/>
  <c r="J12" i="223"/>
  <c r="N11" i="223"/>
  <c r="J11" i="223"/>
  <c r="F57" i="223" s="1"/>
  <c r="I57" i="223" s="1"/>
  <c r="I58" i="223" s="1"/>
  <c r="M184" i="3" s="1"/>
  <c r="N10" i="223"/>
  <c r="I65" i="222"/>
  <c r="I66" i="222"/>
  <c r="M183" i="3"/>
  <c r="J61" i="222"/>
  <c r="J60" i="222"/>
  <c r="J59" i="222"/>
  <c r="J58" i="222"/>
  <c r="J62" i="222" s="1"/>
  <c r="L183" i="3" s="1"/>
  <c r="J57" i="222"/>
  <c r="J56" i="222"/>
  <c r="J55" i="222"/>
  <c r="J54" i="222"/>
  <c r="J53" i="222"/>
  <c r="I49" i="222"/>
  <c r="I48" i="222"/>
  <c r="I47" i="222"/>
  <c r="I46" i="222"/>
  <c r="I45" i="222"/>
  <c r="I44" i="222"/>
  <c r="I43" i="222"/>
  <c r="I42" i="222"/>
  <c r="I41" i="222"/>
  <c r="I40" i="222"/>
  <c r="I39" i="222"/>
  <c r="I38" i="222"/>
  <c r="I37" i="222"/>
  <c r="I36" i="222"/>
  <c r="F35" i="222"/>
  <c r="I35" i="222"/>
  <c r="N31" i="222"/>
  <c r="N32" i="222"/>
  <c r="J183" i="3"/>
  <c r="I25" i="220"/>
  <c r="I26" i="220" s="1"/>
  <c r="M182" i="3" s="1"/>
  <c r="I21" i="220"/>
  <c r="I20" i="220"/>
  <c r="I19" i="220"/>
  <c r="I18" i="220"/>
  <c r="I17" i="220"/>
  <c r="I16" i="220"/>
  <c r="I22" i="220" s="1"/>
  <c r="K182" i="3" s="1"/>
  <c r="I15" i="220"/>
  <c r="J11" i="220"/>
  <c r="N11" i="220"/>
  <c r="J10" i="220"/>
  <c r="N10" i="220"/>
  <c r="I17" i="218"/>
  <c r="I16" i="218"/>
  <c r="I15" i="218"/>
  <c r="I18" i="218" s="1"/>
  <c r="K181" i="3" s="1"/>
  <c r="I14" i="218"/>
  <c r="J10" i="218"/>
  <c r="N10" i="218"/>
  <c r="N11" i="218" s="1"/>
  <c r="I17" i="216"/>
  <c r="I16" i="216"/>
  <c r="I15" i="216"/>
  <c r="I14" i="216"/>
  <c r="J10" i="216"/>
  <c r="N10" i="216"/>
  <c r="N11" i="216" s="1"/>
  <c r="J180" i="3" s="1"/>
  <c r="I16" i="214"/>
  <c r="I15" i="214"/>
  <c r="I14" i="214"/>
  <c r="I17" i="214" s="1"/>
  <c r="J10" i="214"/>
  <c r="N10" i="214"/>
  <c r="N11" i="214"/>
  <c r="J179" i="3" s="1"/>
  <c r="I19" i="212"/>
  <c r="I18" i="212"/>
  <c r="I17" i="212"/>
  <c r="I16" i="212"/>
  <c r="I15" i="212"/>
  <c r="I14" i="212"/>
  <c r="J10" i="212"/>
  <c r="N10" i="212" s="1"/>
  <c r="N11" i="212"/>
  <c r="J178" i="3"/>
  <c r="I19" i="210"/>
  <c r="I18" i="210"/>
  <c r="I17" i="210"/>
  <c r="I16" i="210"/>
  <c r="I15" i="210"/>
  <c r="I14" i="210"/>
  <c r="J10" i="210"/>
  <c r="N10" i="210"/>
  <c r="N11" i="210" s="1"/>
  <c r="J177" i="3" s="1"/>
  <c r="I19" i="208"/>
  <c r="I18" i="208"/>
  <c r="I17" i="208"/>
  <c r="I16" i="208"/>
  <c r="I15" i="208"/>
  <c r="I20" i="208" s="1"/>
  <c r="I14" i="208"/>
  <c r="J10" i="208"/>
  <c r="N10" i="208" s="1"/>
  <c r="N11" i="208" s="1"/>
  <c r="J176" i="3" s="1"/>
  <c r="N10" i="207"/>
  <c r="N11" i="207"/>
  <c r="I57" i="206"/>
  <c r="I58" i="206" s="1"/>
  <c r="M174" i="3"/>
  <c r="J53" i="206"/>
  <c r="J52" i="206"/>
  <c r="J51" i="206"/>
  <c r="J50" i="206"/>
  <c r="J49" i="206"/>
  <c r="J48" i="206"/>
  <c r="J47" i="206"/>
  <c r="J46" i="206"/>
  <c r="I42" i="206"/>
  <c r="I41" i="206"/>
  <c r="I40" i="206"/>
  <c r="I39" i="206"/>
  <c r="I38" i="206"/>
  <c r="I37" i="206"/>
  <c r="I36" i="206"/>
  <c r="I35" i="206"/>
  <c r="I34" i="206"/>
  <c r="I33" i="206"/>
  <c r="I32" i="206"/>
  <c r="I31" i="206"/>
  <c r="I30" i="206"/>
  <c r="I29" i="206"/>
  <c r="I28" i="206"/>
  <c r="I27" i="206"/>
  <c r="I26" i="206"/>
  <c r="I43" i="206" s="1"/>
  <c r="K174" i="3" s="1"/>
  <c r="I25" i="206"/>
  <c r="N21" i="206"/>
  <c r="N20" i="206"/>
  <c r="I15" i="205"/>
  <c r="I14" i="205"/>
  <c r="J10" i="205"/>
  <c r="N10" i="205"/>
  <c r="N11" i="205"/>
  <c r="J173" i="3" s="1"/>
  <c r="I18" i="204"/>
  <c r="I17" i="204"/>
  <c r="I16" i="204"/>
  <c r="I15" i="204"/>
  <c r="I14" i="204"/>
  <c r="J10" i="204"/>
  <c r="N10" i="204"/>
  <c r="N11" i="204" s="1"/>
  <c r="J172" i="3" s="1"/>
  <c r="I17" i="203"/>
  <c r="I16" i="203"/>
  <c r="I15" i="203"/>
  <c r="I14" i="203"/>
  <c r="J10" i="203"/>
  <c r="N10" i="203" s="1"/>
  <c r="N11" i="203" s="1"/>
  <c r="J171" i="3" s="1"/>
  <c r="J32" i="202"/>
  <c r="J31" i="202"/>
  <c r="J30" i="202"/>
  <c r="J33" i="202" s="1"/>
  <c r="L170" i="3" s="1"/>
  <c r="I26" i="202"/>
  <c r="I25" i="202"/>
  <c r="I24" i="202"/>
  <c r="I23" i="202"/>
  <c r="I22" i="202"/>
  <c r="I21" i="202"/>
  <c r="I20" i="202"/>
  <c r="N16" i="202"/>
  <c r="N15" i="202"/>
  <c r="N17" i="202" s="1"/>
  <c r="J170" i="3" s="1"/>
  <c r="I20" i="201"/>
  <c r="I21" i="201" s="1"/>
  <c r="M169" i="3" s="1"/>
  <c r="I14" i="201"/>
  <c r="I15" i="201" s="1"/>
  <c r="N10" i="201"/>
  <c r="N11" i="201" s="1"/>
  <c r="J169" i="3"/>
  <c r="J10" i="201"/>
  <c r="I22" i="200"/>
  <c r="I23" i="200"/>
  <c r="M168" i="3" s="1"/>
  <c r="I17" i="200"/>
  <c r="I16" i="200"/>
  <c r="I18" i="200" s="1"/>
  <c r="I15" i="200"/>
  <c r="I14" i="200"/>
  <c r="N10" i="200"/>
  <c r="N11" i="200"/>
  <c r="J168" i="3"/>
  <c r="J10" i="200"/>
  <c r="I25" i="199"/>
  <c r="I26" i="199"/>
  <c r="M167" i="3" s="1"/>
  <c r="I21" i="199"/>
  <c r="I20" i="199"/>
  <c r="I19" i="199"/>
  <c r="I18" i="199"/>
  <c r="I17" i="199"/>
  <c r="I16" i="199"/>
  <c r="I15" i="199"/>
  <c r="I22" i="199" s="1"/>
  <c r="I14" i="199"/>
  <c r="N10" i="199"/>
  <c r="N11" i="199"/>
  <c r="J167" i="3"/>
  <c r="I27" i="198"/>
  <c r="I28" i="198" s="1"/>
  <c r="M166" i="3" s="1"/>
  <c r="I21" i="198"/>
  <c r="I20" i="198"/>
  <c r="I19" i="198"/>
  <c r="I18" i="198"/>
  <c r="I17" i="198"/>
  <c r="I16" i="198"/>
  <c r="I15" i="198"/>
  <c r="J11" i="198"/>
  <c r="N11" i="198"/>
  <c r="J10" i="198"/>
  <c r="N10" i="198"/>
  <c r="N12" i="198" s="1"/>
  <c r="J166" i="3" s="1"/>
  <c r="I16" i="197"/>
  <c r="I15" i="197"/>
  <c r="I14" i="197"/>
  <c r="J10" i="197"/>
  <c r="N10" i="197"/>
  <c r="N11" i="197"/>
  <c r="J165" i="3"/>
  <c r="I16" i="196"/>
  <c r="I17" i="196" s="1"/>
  <c r="K164" i="3" s="1"/>
  <c r="H164" i="3" s="1"/>
  <c r="N164" i="3" s="1"/>
  <c r="I15" i="196"/>
  <c r="I14" i="196"/>
  <c r="J10" i="196"/>
  <c r="N10" i="196" s="1"/>
  <c r="N11" i="196" s="1"/>
  <c r="J164" i="3"/>
  <c r="I25" i="195"/>
  <c r="I26" i="195"/>
  <c r="M163" i="3"/>
  <c r="I20" i="195"/>
  <c r="I19" i="195"/>
  <c r="I18" i="195"/>
  <c r="I17" i="195"/>
  <c r="I16" i="195"/>
  <c r="I15" i="195"/>
  <c r="J11" i="195"/>
  <c r="N11" i="195"/>
  <c r="J10" i="195"/>
  <c r="N10" i="195" s="1"/>
  <c r="N12" i="195" s="1"/>
  <c r="J163" i="3" s="1"/>
  <c r="I19" i="194"/>
  <c r="I18" i="194"/>
  <c r="I17" i="194"/>
  <c r="I16" i="194"/>
  <c r="I15" i="194"/>
  <c r="I14" i="194"/>
  <c r="I20" i="194" s="1"/>
  <c r="J10" i="194"/>
  <c r="N10" i="194" s="1"/>
  <c r="N11" i="194" s="1"/>
  <c r="J162" i="3" s="1"/>
  <c r="I63" i="193"/>
  <c r="I64" i="193"/>
  <c r="M161" i="3" s="1"/>
  <c r="J59" i="193"/>
  <c r="J58" i="193"/>
  <c r="J57" i="193"/>
  <c r="J56" i="193"/>
  <c r="J55" i="193"/>
  <c r="J54" i="193"/>
  <c r="J53" i="193"/>
  <c r="J52" i="193"/>
  <c r="J51" i="193"/>
  <c r="J50" i="193"/>
  <c r="J49" i="193"/>
  <c r="I45" i="193"/>
  <c r="I44" i="193"/>
  <c r="I43" i="193"/>
  <c r="I42" i="193"/>
  <c r="I41" i="193"/>
  <c r="I40" i="193"/>
  <c r="I39" i="193"/>
  <c r="I38" i="193"/>
  <c r="I37" i="193"/>
  <c r="I36" i="193"/>
  <c r="I35" i="193"/>
  <c r="I34" i="193"/>
  <c r="I33" i="193"/>
  <c r="I32" i="193"/>
  <c r="I31" i="193"/>
  <c r="I30" i="193"/>
  <c r="I29" i="193"/>
  <c r="I28" i="193"/>
  <c r="I27" i="193"/>
  <c r="I26" i="193"/>
  <c r="I46" i="193" s="1"/>
  <c r="K161" i="3" s="1"/>
  <c r="N22" i="193"/>
  <c r="N21" i="193"/>
  <c r="N20" i="193"/>
  <c r="D11" i="157"/>
  <c r="J128" i="165"/>
  <c r="I14" i="187"/>
  <c r="I15" i="187"/>
  <c r="K160" i="3" s="1"/>
  <c r="J10" i="187"/>
  <c r="N10" i="187" s="1"/>
  <c r="N11" i="187" s="1"/>
  <c r="J160" i="3" s="1"/>
  <c r="H160" i="3" s="1"/>
  <c r="N160" i="3" s="1"/>
  <c r="I15" i="186"/>
  <c r="I14" i="186"/>
  <c r="J10" i="186"/>
  <c r="N10" i="186"/>
  <c r="N11" i="186"/>
  <c r="J140" i="3" s="1"/>
  <c r="I21" i="185"/>
  <c r="I20" i="185"/>
  <c r="I22" i="185" s="1"/>
  <c r="K151" i="3" s="1"/>
  <c r="H151" i="3" s="1"/>
  <c r="N151" i="3" s="1"/>
  <c r="I19" i="185"/>
  <c r="I18" i="185"/>
  <c r="I17" i="185"/>
  <c r="I16" i="185"/>
  <c r="I15" i="185"/>
  <c r="I14" i="185"/>
  <c r="J10" i="185"/>
  <c r="N10" i="185"/>
  <c r="N11" i="185" s="1"/>
  <c r="J151" i="3" s="1"/>
  <c r="I16" i="184"/>
  <c r="I15" i="184"/>
  <c r="I14" i="184"/>
  <c r="J10" i="184"/>
  <c r="N10" i="184" s="1"/>
  <c r="N11" i="184" s="1"/>
  <c r="J158" i="3"/>
  <c r="I15" i="183"/>
  <c r="I14" i="183"/>
  <c r="I16" i="183" s="1"/>
  <c r="J10" i="183"/>
  <c r="N10" i="183"/>
  <c r="N11" i="183"/>
  <c r="J144" i="3" s="1"/>
  <c r="I15" i="182"/>
  <c r="I14" i="182"/>
  <c r="J10" i="182"/>
  <c r="N10" i="182"/>
  <c r="N11" i="182"/>
  <c r="J148" i="3"/>
  <c r="I16" i="181"/>
  <c r="I17" i="181" s="1"/>
  <c r="I15" i="181"/>
  <c r="I14" i="181"/>
  <c r="J10" i="181"/>
  <c r="N10" i="181" s="1"/>
  <c r="N11" i="181" s="1"/>
  <c r="J159" i="3"/>
  <c r="I18" i="180"/>
  <c r="I17" i="180"/>
  <c r="I16" i="180"/>
  <c r="I15" i="180"/>
  <c r="I14" i="180"/>
  <c r="J10" i="180"/>
  <c r="N10" i="180"/>
  <c r="N11" i="180"/>
  <c r="J157" i="3"/>
  <c r="I18" i="179"/>
  <c r="I17" i="179"/>
  <c r="I16" i="179"/>
  <c r="I15" i="179"/>
  <c r="I14" i="179"/>
  <c r="J10" i="179"/>
  <c r="N10" i="179"/>
  <c r="N11" i="179"/>
  <c r="J152" i="3" s="1"/>
  <c r="I16" i="178"/>
  <c r="I15" i="178"/>
  <c r="I14" i="178"/>
  <c r="I17" i="178" s="1"/>
  <c r="K155" i="3" s="1"/>
  <c r="J10" i="178"/>
  <c r="N10" i="178"/>
  <c r="N11" i="178"/>
  <c r="J155" i="3"/>
  <c r="I16" i="177"/>
  <c r="I15" i="177"/>
  <c r="I14" i="177"/>
  <c r="J10" i="177"/>
  <c r="N10" i="177" s="1"/>
  <c r="N11" i="177" s="1"/>
  <c r="J156" i="3" s="1"/>
  <c r="I16" i="176"/>
  <c r="I15" i="176"/>
  <c r="I14" i="176"/>
  <c r="J10" i="176"/>
  <c r="N10" i="176"/>
  <c r="N11" i="176" s="1"/>
  <c r="J154" i="3" s="1"/>
  <c r="I16" i="175"/>
  <c r="I15" i="175"/>
  <c r="I14" i="175"/>
  <c r="J10" i="175"/>
  <c r="N10" i="175"/>
  <c r="N11" i="175"/>
  <c r="J153" i="3" s="1"/>
  <c r="I16" i="174"/>
  <c r="I15" i="174"/>
  <c r="I14" i="174"/>
  <c r="J10" i="174"/>
  <c r="N10" i="174" s="1"/>
  <c r="N11" i="174" s="1"/>
  <c r="J149" i="3"/>
  <c r="I16" i="173"/>
  <c r="I15" i="173"/>
  <c r="I14" i="173"/>
  <c r="J10" i="173"/>
  <c r="N10" i="173"/>
  <c r="N11" i="173" s="1"/>
  <c r="J145" i="3" s="1"/>
  <c r="I16" i="172"/>
  <c r="I17" i="172" s="1"/>
  <c r="K141" i="3" s="1"/>
  <c r="I15" i="172"/>
  <c r="I14" i="172"/>
  <c r="E10" i="172"/>
  <c r="N10" i="172"/>
  <c r="N11" i="172"/>
  <c r="I20" i="171"/>
  <c r="I19" i="171"/>
  <c r="I21" i="171" s="1"/>
  <c r="I18" i="171"/>
  <c r="I17" i="171"/>
  <c r="I16" i="171"/>
  <c r="I15" i="171"/>
  <c r="I14" i="171"/>
  <c r="J10" i="171"/>
  <c r="N10" i="171"/>
  <c r="N11" i="171"/>
  <c r="J150" i="3" s="1"/>
  <c r="F19" i="170"/>
  <c r="I19" i="170"/>
  <c r="I18" i="170"/>
  <c r="I17" i="170"/>
  <c r="I20" i="170" s="1"/>
  <c r="I16" i="170"/>
  <c r="F15" i="170"/>
  <c r="I15" i="170"/>
  <c r="I14" i="170"/>
  <c r="N10" i="170"/>
  <c r="N11" i="170"/>
  <c r="J143" i="3"/>
  <c r="I24" i="169"/>
  <c r="I23" i="169"/>
  <c r="I22" i="169"/>
  <c r="I21" i="169"/>
  <c r="I20" i="169"/>
  <c r="I19" i="169"/>
  <c r="I18" i="169"/>
  <c r="I17" i="169"/>
  <c r="I16" i="169"/>
  <c r="I25" i="169" s="1"/>
  <c r="I15" i="169"/>
  <c r="I14" i="169"/>
  <c r="J10" i="169"/>
  <c r="N10" i="169" s="1"/>
  <c r="N11" i="169" s="1"/>
  <c r="J142" i="3"/>
  <c r="J31" i="168"/>
  <c r="L147" i="3" s="1"/>
  <c r="I25" i="168"/>
  <c r="I24" i="168"/>
  <c r="I23" i="168"/>
  <c r="I22" i="168"/>
  <c r="I21" i="168"/>
  <c r="I20" i="168"/>
  <c r="I19" i="168"/>
  <c r="I18" i="168"/>
  <c r="I17" i="168"/>
  <c r="I16" i="168"/>
  <c r="I15" i="168"/>
  <c r="I14" i="168"/>
  <c r="N10" i="168"/>
  <c r="N11" i="168"/>
  <c r="J147" i="3"/>
  <c r="J31" i="167"/>
  <c r="J30" i="167"/>
  <c r="I26" i="167"/>
  <c r="I25" i="167"/>
  <c r="I24" i="167"/>
  <c r="I23" i="167"/>
  <c r="I22" i="167"/>
  <c r="I21" i="167"/>
  <c r="I20" i="167"/>
  <c r="F19" i="167"/>
  <c r="I19" i="167"/>
  <c r="I18" i="167"/>
  <c r="I17" i="167"/>
  <c r="I16" i="167"/>
  <c r="F15" i="167"/>
  <c r="I15" i="167"/>
  <c r="I14" i="167"/>
  <c r="N10" i="167"/>
  <c r="N11" i="167"/>
  <c r="J146" i="3" s="1"/>
  <c r="I16" i="166"/>
  <c r="I15" i="166"/>
  <c r="I14" i="166"/>
  <c r="I17" i="166" s="1"/>
  <c r="J10" i="166"/>
  <c r="N10" i="166" s="1"/>
  <c r="N11" i="166" s="1"/>
  <c r="N1" i="166" s="1"/>
  <c r="J139" i="3"/>
  <c r="H139" i="3" s="1"/>
  <c r="N139" i="3" s="1"/>
  <c r="I154" i="165"/>
  <c r="I155" i="165" s="1"/>
  <c r="M138" i="3" s="1"/>
  <c r="J150" i="165"/>
  <c r="J149" i="165"/>
  <c r="J148" i="165"/>
  <c r="J147" i="165"/>
  <c r="J146" i="165"/>
  <c r="J145" i="165"/>
  <c r="J144" i="165"/>
  <c r="J143" i="165"/>
  <c r="J142" i="165"/>
  <c r="J141" i="165"/>
  <c r="J140" i="165"/>
  <c r="J139" i="165"/>
  <c r="J138" i="165"/>
  <c r="J137" i="165"/>
  <c r="J136" i="165"/>
  <c r="J135" i="165"/>
  <c r="J134" i="165"/>
  <c r="J133" i="165"/>
  <c r="J132" i="165"/>
  <c r="J131" i="165"/>
  <c r="J130" i="165"/>
  <c r="J129" i="165"/>
  <c r="I127" i="165"/>
  <c r="J127" i="165"/>
  <c r="J126" i="165"/>
  <c r="J125" i="165"/>
  <c r="J124" i="165"/>
  <c r="J123" i="165"/>
  <c r="J122" i="165"/>
  <c r="J121" i="165"/>
  <c r="J120" i="165"/>
  <c r="I116" i="165"/>
  <c r="I115" i="165"/>
  <c r="I114" i="165"/>
  <c r="I113" i="165"/>
  <c r="I112" i="165"/>
  <c r="I111" i="165"/>
  <c r="I110" i="165"/>
  <c r="I109" i="165"/>
  <c r="I108" i="165"/>
  <c r="I107" i="165"/>
  <c r="I106" i="165"/>
  <c r="I105" i="165"/>
  <c r="I104" i="165"/>
  <c r="I103" i="165"/>
  <c r="I102" i="165"/>
  <c r="I101" i="165"/>
  <c r="I100" i="165"/>
  <c r="I99" i="165"/>
  <c r="I98" i="165"/>
  <c r="I97" i="165"/>
  <c r="I96" i="165"/>
  <c r="I95" i="165"/>
  <c r="I94" i="165"/>
  <c r="I93" i="165"/>
  <c r="I92" i="165"/>
  <c r="I91" i="165"/>
  <c r="I90" i="165"/>
  <c r="I89" i="165"/>
  <c r="I88" i="165"/>
  <c r="I87" i="165"/>
  <c r="I86" i="165"/>
  <c r="I85" i="165"/>
  <c r="I84" i="165"/>
  <c r="I83" i="165"/>
  <c r="I82" i="165"/>
  <c r="I81" i="165"/>
  <c r="I80" i="165"/>
  <c r="I79" i="165"/>
  <c r="I78" i="165"/>
  <c r="I77" i="165"/>
  <c r="I76" i="165"/>
  <c r="I75" i="165"/>
  <c r="I74" i="165"/>
  <c r="I73" i="165"/>
  <c r="I72" i="165"/>
  <c r="I71" i="165"/>
  <c r="I70" i="165"/>
  <c r="I69" i="165"/>
  <c r="I68" i="165"/>
  <c r="I67" i="165"/>
  <c r="I66" i="165"/>
  <c r="I65" i="165"/>
  <c r="I64" i="165"/>
  <c r="I63" i="165"/>
  <c r="I62" i="165"/>
  <c r="I61" i="165"/>
  <c r="I60" i="165"/>
  <c r="I59" i="165"/>
  <c r="I58" i="165"/>
  <c r="I57" i="165"/>
  <c r="I56" i="165"/>
  <c r="I55" i="165"/>
  <c r="I54" i="165"/>
  <c r="I53" i="165"/>
  <c r="I52" i="165"/>
  <c r="I51" i="165"/>
  <c r="I50" i="165"/>
  <c r="I49" i="165"/>
  <c r="I48" i="165"/>
  <c r="I47" i="165"/>
  <c r="I46" i="165"/>
  <c r="F45" i="165"/>
  <c r="I45" i="165"/>
  <c r="F44" i="165"/>
  <c r="I44" i="165" s="1"/>
  <c r="I117" i="165" s="1"/>
  <c r="K138" i="3" s="1"/>
  <c r="N40" i="165"/>
  <c r="N39" i="165"/>
  <c r="N38" i="165"/>
  <c r="N37" i="165"/>
  <c r="N36" i="165"/>
  <c r="N35" i="165"/>
  <c r="N34" i="165"/>
  <c r="N41" i="165" s="1"/>
  <c r="J138" i="3" s="1"/>
  <c r="H15" i="164"/>
  <c r="I15" i="164" s="1"/>
  <c r="I19" i="164" s="1"/>
  <c r="I15" i="163"/>
  <c r="H15" i="162"/>
  <c r="I15" i="162" s="1"/>
  <c r="H15" i="161"/>
  <c r="I15" i="161"/>
  <c r="I15" i="158"/>
  <c r="I17" i="158" s="1"/>
  <c r="K131" i="3" s="1"/>
  <c r="I18" i="153"/>
  <c r="I19" i="153"/>
  <c r="F18" i="164"/>
  <c r="I18" i="164" s="1"/>
  <c r="I17" i="164"/>
  <c r="I16" i="164"/>
  <c r="J11" i="164"/>
  <c r="E11" i="164"/>
  <c r="N11" i="164"/>
  <c r="J10" i="164"/>
  <c r="F18" i="163"/>
  <c r="I18" i="163" s="1"/>
  <c r="I17" i="163"/>
  <c r="I16" i="163"/>
  <c r="J11" i="163"/>
  <c r="E11" i="163"/>
  <c r="N11" i="163"/>
  <c r="J10" i="163"/>
  <c r="F18" i="162"/>
  <c r="I18" i="162" s="1"/>
  <c r="I17" i="162"/>
  <c r="I16" i="162"/>
  <c r="J11" i="162"/>
  <c r="E11" i="162"/>
  <c r="N11" i="162"/>
  <c r="J10" i="162"/>
  <c r="E10" i="162" s="1"/>
  <c r="F18" i="161"/>
  <c r="I18" i="161"/>
  <c r="I17" i="161"/>
  <c r="I16" i="161"/>
  <c r="J11" i="161"/>
  <c r="E11" i="161"/>
  <c r="N11" i="161"/>
  <c r="J10" i="161"/>
  <c r="F18" i="160"/>
  <c r="I18" i="160"/>
  <c r="I17" i="160"/>
  <c r="I16" i="160"/>
  <c r="I15" i="160"/>
  <c r="J11" i="160"/>
  <c r="E11" i="160"/>
  <c r="N11" i="160" s="1"/>
  <c r="N12" i="160" s="1"/>
  <c r="J133" i="3" s="1"/>
  <c r="J10" i="160"/>
  <c r="E10" i="160"/>
  <c r="I17" i="159"/>
  <c r="I16" i="159"/>
  <c r="I15" i="159"/>
  <c r="I14" i="159"/>
  <c r="J10" i="159"/>
  <c r="I16" i="158"/>
  <c r="I14" i="158"/>
  <c r="J10" i="158"/>
  <c r="E10" i="158" s="1"/>
  <c r="I31" i="157"/>
  <c r="I32" i="157"/>
  <c r="M130" i="3"/>
  <c r="J27" i="157"/>
  <c r="J28" i="157" s="1"/>
  <c r="L130" i="3"/>
  <c r="I23" i="157"/>
  <c r="I22" i="157"/>
  <c r="I21" i="157"/>
  <c r="I20" i="157"/>
  <c r="I19" i="157"/>
  <c r="D10" i="157"/>
  <c r="D9" i="157"/>
  <c r="H208" i="155"/>
  <c r="G208" i="155"/>
  <c r="F208" i="155"/>
  <c r="E208" i="155"/>
  <c r="D208" i="155"/>
  <c r="C208" i="155"/>
  <c r="B208" i="155"/>
  <c r="A208" i="155"/>
  <c r="H207" i="155"/>
  <c r="G207" i="155"/>
  <c r="F207" i="155"/>
  <c r="E207" i="155"/>
  <c r="D207" i="155"/>
  <c r="C207" i="155"/>
  <c r="B207" i="155"/>
  <c r="A207" i="155"/>
  <c r="H206" i="155"/>
  <c r="G206" i="155"/>
  <c r="F206" i="155"/>
  <c r="E206" i="155"/>
  <c r="D206" i="155"/>
  <c r="C206" i="155"/>
  <c r="B206" i="155"/>
  <c r="A206" i="155"/>
  <c r="H205" i="155"/>
  <c r="G205" i="155"/>
  <c r="F205" i="155"/>
  <c r="E205" i="155"/>
  <c r="D205" i="155"/>
  <c r="C205" i="155"/>
  <c r="B205" i="155"/>
  <c r="A205" i="155"/>
  <c r="H204" i="155"/>
  <c r="G204" i="155"/>
  <c r="F204" i="155"/>
  <c r="E204" i="155"/>
  <c r="D204" i="155"/>
  <c r="C204" i="155"/>
  <c r="B204" i="155"/>
  <c r="A204" i="155"/>
  <c r="H203" i="155"/>
  <c r="G203" i="155"/>
  <c r="F203" i="155"/>
  <c r="E203" i="155"/>
  <c r="D203" i="155"/>
  <c r="C203" i="155"/>
  <c r="B203" i="155"/>
  <c r="A203" i="155"/>
  <c r="H202" i="155"/>
  <c r="G202" i="155"/>
  <c r="F202" i="155"/>
  <c r="E202" i="155"/>
  <c r="D202" i="155"/>
  <c r="C202" i="155"/>
  <c r="B202" i="155"/>
  <c r="A202" i="155"/>
  <c r="H201" i="155"/>
  <c r="G201" i="155"/>
  <c r="F201" i="155"/>
  <c r="E201" i="155"/>
  <c r="D201" i="155"/>
  <c r="C201" i="155"/>
  <c r="B201" i="155"/>
  <c r="A201" i="155"/>
  <c r="H200" i="155"/>
  <c r="G200" i="155"/>
  <c r="F200" i="155"/>
  <c r="E200" i="155"/>
  <c r="D200" i="155"/>
  <c r="C200" i="155"/>
  <c r="B200" i="155"/>
  <c r="A200" i="155"/>
  <c r="H199" i="155"/>
  <c r="G199" i="155"/>
  <c r="F199" i="155"/>
  <c r="E199" i="155"/>
  <c r="D199" i="155"/>
  <c r="C199" i="155"/>
  <c r="B199" i="155"/>
  <c r="A199" i="155"/>
  <c r="H198" i="155"/>
  <c r="G198" i="155"/>
  <c r="F198" i="155"/>
  <c r="E198" i="155"/>
  <c r="D198" i="155"/>
  <c r="C198" i="155"/>
  <c r="B198" i="155"/>
  <c r="A198" i="155"/>
  <c r="H197" i="155"/>
  <c r="G197" i="155"/>
  <c r="F197" i="155"/>
  <c r="E197" i="155"/>
  <c r="D197" i="155"/>
  <c r="C197" i="155"/>
  <c r="B197" i="155"/>
  <c r="A197" i="155"/>
  <c r="H196" i="155"/>
  <c r="G196" i="155"/>
  <c r="F196" i="155"/>
  <c r="E196" i="155"/>
  <c r="D196" i="155"/>
  <c r="C196" i="155"/>
  <c r="B196" i="155"/>
  <c r="A196" i="155"/>
  <c r="H195" i="155"/>
  <c r="G195" i="155"/>
  <c r="F195" i="155"/>
  <c r="E195" i="155"/>
  <c r="D195" i="155"/>
  <c r="C195" i="155"/>
  <c r="B195" i="155"/>
  <c r="A195" i="155"/>
  <c r="H194" i="155"/>
  <c r="G194" i="155"/>
  <c r="F194" i="155"/>
  <c r="E194" i="155"/>
  <c r="D194" i="155"/>
  <c r="C194" i="155"/>
  <c r="B194" i="155"/>
  <c r="A194" i="155"/>
  <c r="H193" i="155"/>
  <c r="G193" i="155"/>
  <c r="F193" i="155"/>
  <c r="E193" i="155"/>
  <c r="D193" i="155"/>
  <c r="C193" i="155"/>
  <c r="B193" i="155"/>
  <c r="A193" i="155"/>
  <c r="H192" i="155"/>
  <c r="G192" i="155"/>
  <c r="F192" i="155"/>
  <c r="E192" i="155"/>
  <c r="D192" i="155"/>
  <c r="C192" i="155"/>
  <c r="B192" i="155"/>
  <c r="A192" i="155"/>
  <c r="H191" i="155"/>
  <c r="G191" i="155"/>
  <c r="F191" i="155"/>
  <c r="E191" i="155"/>
  <c r="D191" i="155"/>
  <c r="C191" i="155"/>
  <c r="B191" i="155"/>
  <c r="A191" i="155"/>
  <c r="H190" i="155"/>
  <c r="G190" i="155"/>
  <c r="F190" i="155"/>
  <c r="E190" i="155"/>
  <c r="D190" i="155"/>
  <c r="C190" i="155"/>
  <c r="B190" i="155"/>
  <c r="A190" i="155"/>
  <c r="H189" i="155"/>
  <c r="G189" i="155"/>
  <c r="F189" i="155"/>
  <c r="E189" i="155"/>
  <c r="D189" i="155"/>
  <c r="C189" i="155"/>
  <c r="B189" i="155"/>
  <c r="A189" i="155"/>
  <c r="H188" i="155"/>
  <c r="G188" i="155"/>
  <c r="F188" i="155"/>
  <c r="E188" i="155"/>
  <c r="D188" i="155"/>
  <c r="C188" i="155"/>
  <c r="B188" i="155"/>
  <c r="A188" i="155"/>
  <c r="H187" i="155"/>
  <c r="G187" i="155"/>
  <c r="F187" i="155"/>
  <c r="E187" i="155"/>
  <c r="D187" i="155"/>
  <c r="C187" i="155"/>
  <c r="B187" i="155"/>
  <c r="A187" i="155"/>
  <c r="H186" i="155"/>
  <c r="G186" i="155"/>
  <c r="F186" i="155"/>
  <c r="E186" i="155"/>
  <c r="D186" i="155"/>
  <c r="C186" i="155"/>
  <c r="B186" i="155"/>
  <c r="A186" i="155"/>
  <c r="H185" i="155"/>
  <c r="G185" i="155"/>
  <c r="F185" i="155"/>
  <c r="E185" i="155"/>
  <c r="D185" i="155"/>
  <c r="C185" i="155"/>
  <c r="B185" i="155"/>
  <c r="A185" i="155"/>
  <c r="H184" i="155"/>
  <c r="G184" i="155"/>
  <c r="F184" i="155"/>
  <c r="E184" i="155"/>
  <c r="D184" i="155"/>
  <c r="C184" i="155"/>
  <c r="B184" i="155"/>
  <c r="A184" i="155"/>
  <c r="H183" i="155"/>
  <c r="G183" i="155"/>
  <c r="F183" i="155"/>
  <c r="E183" i="155"/>
  <c r="D183" i="155"/>
  <c r="C183" i="155"/>
  <c r="B183" i="155"/>
  <c r="A183" i="155"/>
  <c r="H182" i="155"/>
  <c r="G182" i="155"/>
  <c r="F182" i="155"/>
  <c r="E182" i="155"/>
  <c r="D182" i="155"/>
  <c r="C182" i="155"/>
  <c r="B182" i="155"/>
  <c r="A182" i="155"/>
  <c r="H181" i="155"/>
  <c r="G181" i="155"/>
  <c r="F181" i="155"/>
  <c r="E181" i="155"/>
  <c r="D181" i="155"/>
  <c r="C181" i="155"/>
  <c r="B181" i="155"/>
  <c r="A181" i="155"/>
  <c r="H180" i="155"/>
  <c r="G180" i="155"/>
  <c r="F180" i="155"/>
  <c r="E180" i="155"/>
  <c r="D180" i="155"/>
  <c r="C180" i="155"/>
  <c r="B180" i="155"/>
  <c r="A180" i="155"/>
  <c r="H179" i="155"/>
  <c r="G179" i="155"/>
  <c r="F179" i="155"/>
  <c r="E179" i="155"/>
  <c r="D179" i="155"/>
  <c r="C179" i="155"/>
  <c r="B179" i="155"/>
  <c r="A179" i="155"/>
  <c r="H178" i="155"/>
  <c r="G178" i="155"/>
  <c r="F178" i="155"/>
  <c r="E178" i="155"/>
  <c r="D178" i="155"/>
  <c r="C178" i="155"/>
  <c r="B178" i="155"/>
  <c r="A178" i="155"/>
  <c r="H177" i="155"/>
  <c r="G177" i="155"/>
  <c r="F177" i="155"/>
  <c r="E177" i="155"/>
  <c r="D177" i="155"/>
  <c r="C177" i="155"/>
  <c r="B177" i="155"/>
  <c r="A177" i="155"/>
  <c r="H176" i="155"/>
  <c r="G176" i="155"/>
  <c r="F176" i="155"/>
  <c r="E176" i="155"/>
  <c r="D176" i="155"/>
  <c r="C176" i="155"/>
  <c r="B176" i="155"/>
  <c r="A176" i="155"/>
  <c r="H175" i="155"/>
  <c r="G175" i="155"/>
  <c r="F175" i="155"/>
  <c r="E175" i="155"/>
  <c r="D175" i="155"/>
  <c r="C175" i="155"/>
  <c r="B175" i="155"/>
  <c r="A175" i="155"/>
  <c r="H174" i="155"/>
  <c r="G174" i="155"/>
  <c r="F174" i="155"/>
  <c r="E174" i="155"/>
  <c r="D174" i="155"/>
  <c r="C174" i="155"/>
  <c r="B174" i="155"/>
  <c r="A174" i="155"/>
  <c r="H173" i="155"/>
  <c r="G173" i="155"/>
  <c r="F173" i="155"/>
  <c r="E173" i="155"/>
  <c r="D173" i="155"/>
  <c r="C173" i="155"/>
  <c r="B173" i="155"/>
  <c r="A173" i="155"/>
  <c r="H172" i="155"/>
  <c r="G172" i="155"/>
  <c r="F172" i="155"/>
  <c r="E172" i="155"/>
  <c r="D172" i="155"/>
  <c r="C172" i="155"/>
  <c r="B172" i="155"/>
  <c r="A172" i="155"/>
  <c r="H171" i="155"/>
  <c r="G171" i="155"/>
  <c r="F171" i="155"/>
  <c r="E171" i="155"/>
  <c r="D171" i="155"/>
  <c r="C171" i="155"/>
  <c r="B171" i="155"/>
  <c r="A171" i="155"/>
  <c r="H170" i="155"/>
  <c r="G170" i="155"/>
  <c r="F170" i="155"/>
  <c r="E170" i="155"/>
  <c r="D170" i="155"/>
  <c r="C170" i="155"/>
  <c r="B170" i="155"/>
  <c r="A170" i="155"/>
  <c r="H169" i="155"/>
  <c r="G169" i="155"/>
  <c r="F169" i="155"/>
  <c r="E169" i="155"/>
  <c r="D169" i="155"/>
  <c r="C169" i="155"/>
  <c r="B169" i="155"/>
  <c r="A169" i="155"/>
  <c r="H168" i="155"/>
  <c r="G168" i="155"/>
  <c r="F168" i="155"/>
  <c r="E168" i="155"/>
  <c r="D168" i="155"/>
  <c r="C168" i="155"/>
  <c r="B168" i="155"/>
  <c r="A168" i="155"/>
  <c r="H167" i="155"/>
  <c r="G167" i="155"/>
  <c r="F167" i="155"/>
  <c r="E167" i="155"/>
  <c r="D167" i="155"/>
  <c r="C167" i="155"/>
  <c r="B167" i="155"/>
  <c r="A167" i="155"/>
  <c r="H166" i="155"/>
  <c r="G166" i="155"/>
  <c r="F166" i="155"/>
  <c r="E166" i="155"/>
  <c r="D166" i="155"/>
  <c r="C166" i="155"/>
  <c r="B166" i="155"/>
  <c r="A166" i="155"/>
  <c r="H165" i="155"/>
  <c r="G165" i="155"/>
  <c r="F165" i="155"/>
  <c r="E165" i="155"/>
  <c r="D165" i="155"/>
  <c r="C165" i="155"/>
  <c r="B165" i="155"/>
  <c r="A165" i="155"/>
  <c r="H164" i="155"/>
  <c r="G164" i="155"/>
  <c r="F164" i="155"/>
  <c r="E164" i="155"/>
  <c r="D164" i="155"/>
  <c r="C164" i="155"/>
  <c r="B164" i="155"/>
  <c r="A164" i="155"/>
  <c r="H163" i="155"/>
  <c r="G163" i="155"/>
  <c r="F163" i="155"/>
  <c r="E163" i="155"/>
  <c r="D163" i="155"/>
  <c r="C163" i="155"/>
  <c r="B163" i="155"/>
  <c r="A163" i="155"/>
  <c r="H162" i="155"/>
  <c r="G162" i="155"/>
  <c r="F162" i="155"/>
  <c r="E162" i="155"/>
  <c r="D162" i="155"/>
  <c r="C162" i="155"/>
  <c r="B162" i="155"/>
  <c r="A162" i="155"/>
  <c r="H161" i="155"/>
  <c r="G161" i="155"/>
  <c r="F161" i="155"/>
  <c r="E161" i="155"/>
  <c r="D161" i="155"/>
  <c r="C161" i="155"/>
  <c r="B161" i="155"/>
  <c r="A161" i="155"/>
  <c r="H160" i="155"/>
  <c r="G160" i="155"/>
  <c r="F160" i="155"/>
  <c r="E160" i="155"/>
  <c r="D160" i="155"/>
  <c r="C160" i="155"/>
  <c r="B160" i="155"/>
  <c r="A160" i="155"/>
  <c r="H159" i="155"/>
  <c r="G159" i="155"/>
  <c r="F159" i="155"/>
  <c r="E159" i="155"/>
  <c r="D159" i="155"/>
  <c r="C159" i="155"/>
  <c r="B159" i="155"/>
  <c r="A159" i="155"/>
  <c r="H158" i="155"/>
  <c r="G158" i="155"/>
  <c r="F158" i="155"/>
  <c r="E158" i="155"/>
  <c r="D158" i="155"/>
  <c r="C158" i="155"/>
  <c r="B158" i="155"/>
  <c r="A158" i="155"/>
  <c r="H157" i="155"/>
  <c r="G157" i="155"/>
  <c r="F157" i="155"/>
  <c r="E157" i="155"/>
  <c r="D157" i="155"/>
  <c r="C157" i="155"/>
  <c r="B157" i="155"/>
  <c r="A157" i="155"/>
  <c r="H156" i="155"/>
  <c r="G156" i="155"/>
  <c r="F156" i="155"/>
  <c r="E156" i="155"/>
  <c r="D156" i="155"/>
  <c r="C156" i="155"/>
  <c r="B156" i="155"/>
  <c r="A156" i="155"/>
  <c r="H155" i="155"/>
  <c r="G155" i="155"/>
  <c r="F155" i="155"/>
  <c r="E155" i="155"/>
  <c r="D155" i="155"/>
  <c r="C155" i="155"/>
  <c r="B155" i="155"/>
  <c r="A155" i="155"/>
  <c r="H154" i="155"/>
  <c r="G154" i="155"/>
  <c r="F154" i="155"/>
  <c r="E154" i="155"/>
  <c r="D154" i="155"/>
  <c r="C154" i="155"/>
  <c r="B154" i="155"/>
  <c r="A154" i="155"/>
  <c r="H153" i="155"/>
  <c r="G153" i="155"/>
  <c r="F153" i="155"/>
  <c r="E153" i="155"/>
  <c r="D153" i="155"/>
  <c r="C153" i="155"/>
  <c r="B153" i="155"/>
  <c r="A153" i="155"/>
  <c r="H152" i="155"/>
  <c r="G152" i="155"/>
  <c r="F152" i="155"/>
  <c r="E152" i="155"/>
  <c r="D152" i="155"/>
  <c r="C152" i="155"/>
  <c r="B152" i="155"/>
  <c r="A152" i="155"/>
  <c r="H151" i="155"/>
  <c r="G151" i="155"/>
  <c r="F151" i="155"/>
  <c r="E151" i="155"/>
  <c r="D151" i="155"/>
  <c r="C151" i="155"/>
  <c r="B151" i="155"/>
  <c r="A151" i="155"/>
  <c r="H150" i="155"/>
  <c r="G150" i="155"/>
  <c r="F150" i="155"/>
  <c r="E150" i="155"/>
  <c r="D150" i="155"/>
  <c r="C150" i="155"/>
  <c r="B150" i="155"/>
  <c r="A150" i="155"/>
  <c r="H149" i="155"/>
  <c r="G149" i="155"/>
  <c r="F149" i="155"/>
  <c r="E149" i="155"/>
  <c r="D149" i="155"/>
  <c r="C149" i="155"/>
  <c r="B149" i="155"/>
  <c r="A149" i="155"/>
  <c r="H148" i="155"/>
  <c r="G148" i="155"/>
  <c r="F148" i="155"/>
  <c r="E148" i="155"/>
  <c r="D148" i="155"/>
  <c r="C148" i="155"/>
  <c r="B148" i="155"/>
  <c r="A148" i="155"/>
  <c r="H147" i="155"/>
  <c r="G147" i="155"/>
  <c r="F147" i="155"/>
  <c r="E147" i="155"/>
  <c r="D147" i="155"/>
  <c r="C147" i="155"/>
  <c r="B147" i="155"/>
  <c r="A147" i="155"/>
  <c r="H146" i="155"/>
  <c r="G146" i="155"/>
  <c r="F146" i="155"/>
  <c r="E146" i="155"/>
  <c r="D146" i="155"/>
  <c r="C146" i="155"/>
  <c r="B146" i="155"/>
  <c r="A146" i="155"/>
  <c r="H145" i="155"/>
  <c r="G145" i="155"/>
  <c r="F145" i="155"/>
  <c r="E145" i="155"/>
  <c r="D145" i="155"/>
  <c r="C145" i="155"/>
  <c r="B145" i="155"/>
  <c r="A145" i="155"/>
  <c r="H144" i="155"/>
  <c r="G144" i="155"/>
  <c r="F144" i="155"/>
  <c r="E144" i="155"/>
  <c r="D144" i="155"/>
  <c r="C144" i="155"/>
  <c r="B144" i="155"/>
  <c r="A144" i="155"/>
  <c r="H143" i="155"/>
  <c r="G143" i="155"/>
  <c r="F143" i="155"/>
  <c r="E143" i="155"/>
  <c r="D143" i="155"/>
  <c r="C143" i="155"/>
  <c r="B143" i="155"/>
  <c r="A143" i="155"/>
  <c r="H142" i="155"/>
  <c r="G142" i="155"/>
  <c r="F142" i="155"/>
  <c r="E142" i="155"/>
  <c r="D142" i="155"/>
  <c r="C142" i="155"/>
  <c r="B142" i="155"/>
  <c r="A142" i="155"/>
  <c r="H141" i="155"/>
  <c r="G141" i="155"/>
  <c r="F141" i="155"/>
  <c r="E141" i="155"/>
  <c r="D141" i="155"/>
  <c r="C141" i="155"/>
  <c r="B141" i="155"/>
  <c r="A141" i="155"/>
  <c r="H140" i="155"/>
  <c r="G140" i="155"/>
  <c r="F140" i="155"/>
  <c r="E140" i="155"/>
  <c r="D140" i="155"/>
  <c r="C140" i="155"/>
  <c r="B140" i="155"/>
  <c r="A140" i="155"/>
  <c r="H139" i="155"/>
  <c r="G139" i="155"/>
  <c r="F139" i="155"/>
  <c r="E139" i="155"/>
  <c r="D139" i="155"/>
  <c r="C139" i="155"/>
  <c r="B139" i="155"/>
  <c r="A139" i="155"/>
  <c r="H138" i="155"/>
  <c r="G138" i="155"/>
  <c r="F138" i="155"/>
  <c r="E138" i="155"/>
  <c r="D138" i="155"/>
  <c r="C138" i="155"/>
  <c r="B138" i="155"/>
  <c r="A138" i="155"/>
  <c r="H137" i="155"/>
  <c r="G137" i="155"/>
  <c r="F137" i="155"/>
  <c r="E137" i="155"/>
  <c r="D137" i="155"/>
  <c r="C137" i="155"/>
  <c r="B137" i="155"/>
  <c r="A137" i="155"/>
  <c r="H136" i="155"/>
  <c r="G136" i="155"/>
  <c r="F136" i="155"/>
  <c r="E136" i="155"/>
  <c r="D136" i="155"/>
  <c r="C136" i="155"/>
  <c r="B136" i="155"/>
  <c r="A136" i="155"/>
  <c r="H135" i="155"/>
  <c r="G135" i="155"/>
  <c r="F135" i="155"/>
  <c r="E135" i="155"/>
  <c r="D135" i="155"/>
  <c r="C135" i="155"/>
  <c r="B135" i="155"/>
  <c r="A135" i="155"/>
  <c r="H134" i="155"/>
  <c r="G134" i="155"/>
  <c r="F134" i="155"/>
  <c r="E134" i="155"/>
  <c r="D134" i="155"/>
  <c r="C134" i="155"/>
  <c r="B134" i="155"/>
  <c r="A134" i="155"/>
  <c r="H133" i="155"/>
  <c r="G133" i="155"/>
  <c r="F133" i="155"/>
  <c r="E133" i="155"/>
  <c r="D133" i="155"/>
  <c r="C133" i="155"/>
  <c r="B133" i="155"/>
  <c r="A133" i="155"/>
  <c r="H132" i="155"/>
  <c r="G132" i="155"/>
  <c r="F132" i="155"/>
  <c r="E132" i="155"/>
  <c r="D132" i="155"/>
  <c r="C132" i="155"/>
  <c r="B132" i="155"/>
  <c r="A132" i="155"/>
  <c r="H131" i="155"/>
  <c r="G131" i="155"/>
  <c r="F131" i="155"/>
  <c r="E131" i="155"/>
  <c r="D131" i="155"/>
  <c r="C131" i="155"/>
  <c r="B131" i="155"/>
  <c r="A131" i="155"/>
  <c r="H130" i="155"/>
  <c r="G130" i="155"/>
  <c r="F130" i="155"/>
  <c r="E130" i="155"/>
  <c r="D130" i="155"/>
  <c r="C130" i="155"/>
  <c r="B130" i="155"/>
  <c r="A130" i="155"/>
  <c r="H129" i="155"/>
  <c r="G129" i="155"/>
  <c r="F129" i="155"/>
  <c r="E129" i="155"/>
  <c r="D129" i="155"/>
  <c r="C129" i="155"/>
  <c r="B129" i="155"/>
  <c r="A129" i="155"/>
  <c r="H128" i="155"/>
  <c r="G128" i="155"/>
  <c r="F128" i="155"/>
  <c r="E128" i="155"/>
  <c r="D128" i="155"/>
  <c r="C128" i="155"/>
  <c r="B128" i="155"/>
  <c r="A128" i="155"/>
  <c r="H127" i="155"/>
  <c r="G127" i="155"/>
  <c r="F127" i="155"/>
  <c r="E127" i="155"/>
  <c r="D127" i="155"/>
  <c r="C127" i="155"/>
  <c r="B127" i="155"/>
  <c r="A127" i="155"/>
  <c r="H126" i="155"/>
  <c r="G126" i="155"/>
  <c r="F126" i="155"/>
  <c r="E126" i="155"/>
  <c r="D126" i="155"/>
  <c r="C126" i="155"/>
  <c r="B126" i="155"/>
  <c r="A126" i="155"/>
  <c r="H125" i="155"/>
  <c r="G125" i="155"/>
  <c r="F125" i="155"/>
  <c r="E125" i="155"/>
  <c r="D125" i="155"/>
  <c r="C125" i="155"/>
  <c r="B125" i="155"/>
  <c r="A125" i="155"/>
  <c r="H124" i="155"/>
  <c r="G124" i="155"/>
  <c r="F124" i="155"/>
  <c r="E124" i="155"/>
  <c r="D124" i="155"/>
  <c r="C124" i="155"/>
  <c r="B124" i="155"/>
  <c r="A124" i="155"/>
  <c r="H123" i="155"/>
  <c r="G123" i="155"/>
  <c r="F123" i="155"/>
  <c r="E123" i="155"/>
  <c r="D123" i="155"/>
  <c r="C123" i="155"/>
  <c r="B123" i="155"/>
  <c r="A123" i="155"/>
  <c r="H122" i="155"/>
  <c r="G122" i="155"/>
  <c r="F122" i="155"/>
  <c r="E122" i="155"/>
  <c r="D122" i="155"/>
  <c r="C122" i="155"/>
  <c r="B122" i="155"/>
  <c r="A122" i="155"/>
  <c r="H121" i="155"/>
  <c r="G121" i="155"/>
  <c r="F121" i="155"/>
  <c r="E121" i="155"/>
  <c r="D121" i="155"/>
  <c r="C121" i="155"/>
  <c r="B121" i="155"/>
  <c r="A121" i="155"/>
  <c r="H120" i="155"/>
  <c r="G120" i="155"/>
  <c r="F120" i="155"/>
  <c r="E120" i="155"/>
  <c r="D120" i="155"/>
  <c r="C120" i="155"/>
  <c r="B120" i="155"/>
  <c r="A120" i="155"/>
  <c r="H119" i="155"/>
  <c r="G119" i="155"/>
  <c r="F119" i="155"/>
  <c r="E119" i="155"/>
  <c r="D119" i="155"/>
  <c r="C119" i="155"/>
  <c r="B119" i="155"/>
  <c r="A119" i="155"/>
  <c r="H118" i="155"/>
  <c r="G118" i="155"/>
  <c r="F118" i="155"/>
  <c r="E118" i="155"/>
  <c r="D118" i="155"/>
  <c r="C118" i="155"/>
  <c r="B118" i="155"/>
  <c r="A118" i="155"/>
  <c r="H117" i="155"/>
  <c r="G117" i="155"/>
  <c r="F117" i="155"/>
  <c r="E117" i="155"/>
  <c r="D117" i="155"/>
  <c r="C117" i="155"/>
  <c r="B117" i="155"/>
  <c r="A117" i="155"/>
  <c r="H116" i="155"/>
  <c r="G116" i="155"/>
  <c r="F116" i="155"/>
  <c r="E116" i="155"/>
  <c r="D116" i="155"/>
  <c r="C116" i="155"/>
  <c r="B116" i="155"/>
  <c r="A116" i="155"/>
  <c r="H115" i="155"/>
  <c r="G115" i="155"/>
  <c r="F115" i="155"/>
  <c r="E115" i="155"/>
  <c r="D115" i="155"/>
  <c r="C115" i="155"/>
  <c r="B115" i="155"/>
  <c r="A115" i="155"/>
  <c r="H114" i="155"/>
  <c r="G114" i="155"/>
  <c r="F114" i="155"/>
  <c r="E114" i="155"/>
  <c r="D114" i="155"/>
  <c r="C114" i="155"/>
  <c r="B114" i="155"/>
  <c r="A114" i="155"/>
  <c r="H113" i="155"/>
  <c r="G113" i="155"/>
  <c r="F113" i="155"/>
  <c r="E113" i="155"/>
  <c r="D113" i="155"/>
  <c r="C113" i="155"/>
  <c r="B113" i="155"/>
  <c r="A113" i="155"/>
  <c r="H112" i="155"/>
  <c r="G112" i="155"/>
  <c r="F112" i="155"/>
  <c r="E112" i="155"/>
  <c r="D112" i="155"/>
  <c r="C112" i="155"/>
  <c r="B112" i="155"/>
  <c r="A112" i="155"/>
  <c r="H111" i="155"/>
  <c r="G111" i="155"/>
  <c r="F111" i="155"/>
  <c r="E111" i="155"/>
  <c r="D111" i="155"/>
  <c r="C111" i="155"/>
  <c r="B111" i="155"/>
  <c r="A111" i="155"/>
  <c r="H110" i="155"/>
  <c r="G110" i="155"/>
  <c r="F110" i="155"/>
  <c r="E110" i="155"/>
  <c r="D110" i="155"/>
  <c r="C110" i="155"/>
  <c r="B110" i="155"/>
  <c r="A110" i="155"/>
  <c r="H109" i="155"/>
  <c r="G109" i="155"/>
  <c r="F109" i="155"/>
  <c r="E109" i="155"/>
  <c r="D109" i="155"/>
  <c r="C109" i="155"/>
  <c r="B109" i="155"/>
  <c r="A109" i="155"/>
  <c r="H108" i="155"/>
  <c r="G108" i="155"/>
  <c r="F108" i="155"/>
  <c r="E108" i="155"/>
  <c r="D108" i="155"/>
  <c r="C108" i="155"/>
  <c r="B108" i="155"/>
  <c r="A108" i="155"/>
  <c r="H107" i="155"/>
  <c r="G107" i="155"/>
  <c r="F107" i="155"/>
  <c r="E107" i="155"/>
  <c r="D107" i="155"/>
  <c r="C107" i="155"/>
  <c r="B107" i="155"/>
  <c r="A107" i="155"/>
  <c r="H106" i="155"/>
  <c r="G106" i="155"/>
  <c r="F106" i="155"/>
  <c r="E106" i="155"/>
  <c r="D106" i="155"/>
  <c r="C106" i="155"/>
  <c r="B106" i="155"/>
  <c r="A106" i="155"/>
  <c r="H105" i="155"/>
  <c r="G105" i="155"/>
  <c r="F105" i="155"/>
  <c r="E105" i="155"/>
  <c r="D105" i="155"/>
  <c r="C105" i="155"/>
  <c r="B105" i="155"/>
  <c r="A105" i="155"/>
  <c r="H104" i="155"/>
  <c r="G104" i="155"/>
  <c r="F104" i="155"/>
  <c r="E104" i="155"/>
  <c r="D104" i="155"/>
  <c r="C104" i="155"/>
  <c r="B104" i="155"/>
  <c r="A104" i="155"/>
  <c r="H103" i="155"/>
  <c r="G103" i="155"/>
  <c r="F103" i="155"/>
  <c r="E103" i="155"/>
  <c r="D103" i="155"/>
  <c r="C103" i="155"/>
  <c r="B103" i="155"/>
  <c r="A103" i="155"/>
  <c r="H102" i="155"/>
  <c r="G102" i="155"/>
  <c r="F102" i="155"/>
  <c r="E102" i="155"/>
  <c r="D102" i="155"/>
  <c r="C102" i="155"/>
  <c r="B102" i="155"/>
  <c r="A102" i="155"/>
  <c r="H101" i="155"/>
  <c r="G101" i="155"/>
  <c r="F101" i="155"/>
  <c r="E101" i="155"/>
  <c r="D101" i="155"/>
  <c r="C101" i="155"/>
  <c r="B101" i="155"/>
  <c r="A101" i="155"/>
  <c r="H100" i="155"/>
  <c r="G100" i="155"/>
  <c r="F100" i="155"/>
  <c r="E100" i="155"/>
  <c r="D100" i="155"/>
  <c r="C100" i="155"/>
  <c r="B100" i="155"/>
  <c r="A100" i="155"/>
  <c r="H99" i="155"/>
  <c r="G99" i="155"/>
  <c r="F99" i="155"/>
  <c r="E99" i="155"/>
  <c r="D99" i="155"/>
  <c r="C99" i="155"/>
  <c r="B99" i="155"/>
  <c r="A99" i="155"/>
  <c r="H98" i="155"/>
  <c r="G98" i="155"/>
  <c r="F98" i="155"/>
  <c r="E98" i="155"/>
  <c r="D98" i="155"/>
  <c r="C98" i="155"/>
  <c r="B98" i="155"/>
  <c r="A98" i="155"/>
  <c r="H97" i="155"/>
  <c r="G97" i="155"/>
  <c r="F97" i="155"/>
  <c r="E97" i="155"/>
  <c r="D97" i="155"/>
  <c r="C97" i="155"/>
  <c r="B97" i="155"/>
  <c r="A97" i="155"/>
  <c r="H96" i="155"/>
  <c r="G96" i="155"/>
  <c r="F96" i="155"/>
  <c r="E96" i="155"/>
  <c r="D96" i="155"/>
  <c r="C96" i="155"/>
  <c r="B96" i="155"/>
  <c r="A96" i="155"/>
  <c r="H95" i="155"/>
  <c r="G95" i="155"/>
  <c r="F95" i="155"/>
  <c r="E95" i="155"/>
  <c r="D95" i="155"/>
  <c r="C95" i="155"/>
  <c r="B95" i="155"/>
  <c r="A95" i="155"/>
  <c r="H94" i="155"/>
  <c r="G94" i="155"/>
  <c r="F94" i="155"/>
  <c r="E94" i="155"/>
  <c r="D94" i="155"/>
  <c r="C94" i="155"/>
  <c r="B94" i="155"/>
  <c r="A94" i="155"/>
  <c r="H93" i="155"/>
  <c r="G93" i="155"/>
  <c r="F93" i="155"/>
  <c r="E93" i="155"/>
  <c r="D93" i="155"/>
  <c r="C93" i="155"/>
  <c r="B93" i="155"/>
  <c r="A93" i="155"/>
  <c r="H92" i="155"/>
  <c r="G92" i="155"/>
  <c r="F92" i="155"/>
  <c r="E92" i="155"/>
  <c r="D92" i="155"/>
  <c r="C92" i="155"/>
  <c r="B92" i="155"/>
  <c r="A92" i="155"/>
  <c r="H91" i="155"/>
  <c r="G91" i="155"/>
  <c r="F91" i="155"/>
  <c r="E91" i="155"/>
  <c r="D91" i="155"/>
  <c r="C91" i="155"/>
  <c r="B91" i="155"/>
  <c r="A91" i="155"/>
  <c r="H90" i="155"/>
  <c r="G90" i="155"/>
  <c r="F90" i="155"/>
  <c r="E90" i="155"/>
  <c r="D90" i="155"/>
  <c r="C90" i="155"/>
  <c r="B90" i="155"/>
  <c r="A90" i="155"/>
  <c r="H89" i="155"/>
  <c r="G89" i="155"/>
  <c r="F89" i="155"/>
  <c r="E89" i="155"/>
  <c r="D89" i="155"/>
  <c r="C89" i="155"/>
  <c r="B89" i="155"/>
  <c r="A89" i="155"/>
  <c r="H88" i="155"/>
  <c r="G88" i="155"/>
  <c r="F88" i="155"/>
  <c r="E88" i="155"/>
  <c r="D88" i="155"/>
  <c r="C88" i="155"/>
  <c r="B88" i="155"/>
  <c r="A88" i="155"/>
  <c r="H87" i="155"/>
  <c r="G87" i="155"/>
  <c r="F87" i="155"/>
  <c r="E87" i="155"/>
  <c r="D87" i="155"/>
  <c r="C87" i="155"/>
  <c r="B87" i="155"/>
  <c r="A87" i="155"/>
  <c r="H86" i="155"/>
  <c r="G86" i="155"/>
  <c r="F86" i="155"/>
  <c r="E86" i="155"/>
  <c r="D86" i="155"/>
  <c r="C86" i="155"/>
  <c r="B86" i="155"/>
  <c r="A86" i="155"/>
  <c r="H85" i="155"/>
  <c r="G85" i="155"/>
  <c r="F85" i="155"/>
  <c r="E85" i="155"/>
  <c r="D85" i="155"/>
  <c r="C85" i="155"/>
  <c r="B85" i="155"/>
  <c r="A85" i="155"/>
  <c r="H84" i="155"/>
  <c r="G84" i="155"/>
  <c r="F84" i="155"/>
  <c r="E84" i="155"/>
  <c r="D84" i="155"/>
  <c r="C84" i="155"/>
  <c r="B84" i="155"/>
  <c r="A84" i="155"/>
  <c r="H83" i="155"/>
  <c r="G83" i="155"/>
  <c r="F83" i="155"/>
  <c r="E83" i="155"/>
  <c r="D83" i="155"/>
  <c r="C83" i="155"/>
  <c r="B83" i="155"/>
  <c r="A83" i="155"/>
  <c r="H82" i="155"/>
  <c r="G82" i="155"/>
  <c r="F82" i="155"/>
  <c r="E82" i="155"/>
  <c r="D82" i="155"/>
  <c r="C82" i="155"/>
  <c r="B82" i="155"/>
  <c r="A82" i="155"/>
  <c r="H81" i="155"/>
  <c r="G81" i="155"/>
  <c r="F81" i="155"/>
  <c r="E81" i="155"/>
  <c r="D81" i="155"/>
  <c r="C81" i="155"/>
  <c r="B81" i="155"/>
  <c r="A81" i="155"/>
  <c r="H80" i="155"/>
  <c r="G80" i="155"/>
  <c r="F80" i="155"/>
  <c r="E80" i="155"/>
  <c r="D80" i="155"/>
  <c r="C80" i="155"/>
  <c r="B80" i="155"/>
  <c r="A80" i="155"/>
  <c r="H79" i="155"/>
  <c r="G79" i="155"/>
  <c r="F79" i="155"/>
  <c r="E79" i="155"/>
  <c r="D79" i="155"/>
  <c r="C79" i="155"/>
  <c r="B79" i="155"/>
  <c r="A79" i="155"/>
  <c r="H78" i="155"/>
  <c r="G78" i="155"/>
  <c r="F78" i="155"/>
  <c r="E78" i="155"/>
  <c r="D78" i="155"/>
  <c r="C78" i="155"/>
  <c r="B78" i="155"/>
  <c r="A78" i="155"/>
  <c r="H77" i="155"/>
  <c r="G77" i="155"/>
  <c r="F77" i="155"/>
  <c r="E77" i="155"/>
  <c r="D77" i="155"/>
  <c r="C77" i="155"/>
  <c r="B77" i="155"/>
  <c r="A77" i="155"/>
  <c r="H76" i="155"/>
  <c r="G76" i="155"/>
  <c r="F76" i="155"/>
  <c r="E76" i="155"/>
  <c r="D76" i="155"/>
  <c r="C76" i="155"/>
  <c r="B76" i="155"/>
  <c r="A76" i="155"/>
  <c r="H75" i="155"/>
  <c r="G75" i="155"/>
  <c r="F75" i="155"/>
  <c r="E75" i="155"/>
  <c r="D75" i="155"/>
  <c r="C75" i="155"/>
  <c r="B75" i="155"/>
  <c r="A75" i="155"/>
  <c r="H74" i="155"/>
  <c r="G74" i="155"/>
  <c r="F74" i="155"/>
  <c r="E74" i="155"/>
  <c r="D74" i="155"/>
  <c r="C74" i="155"/>
  <c r="B74" i="155"/>
  <c r="A74" i="155"/>
  <c r="H73" i="155"/>
  <c r="G73" i="155"/>
  <c r="F73" i="155"/>
  <c r="E73" i="155"/>
  <c r="D73" i="155"/>
  <c r="C73" i="155"/>
  <c r="B73" i="155"/>
  <c r="A73" i="155"/>
  <c r="H72" i="155"/>
  <c r="G72" i="155"/>
  <c r="F72" i="155"/>
  <c r="E72" i="155"/>
  <c r="D72" i="155"/>
  <c r="C72" i="155"/>
  <c r="B72" i="155"/>
  <c r="A72" i="155"/>
  <c r="H71" i="155"/>
  <c r="G71" i="155"/>
  <c r="F71" i="155"/>
  <c r="E71" i="155"/>
  <c r="D71" i="155"/>
  <c r="C71" i="155"/>
  <c r="B71" i="155"/>
  <c r="A71" i="155"/>
  <c r="F16" i="155"/>
  <c r="I16" i="155"/>
  <c r="I17" i="155" s="1"/>
  <c r="K129" i="3" s="1"/>
  <c r="I15" i="155"/>
  <c r="N11" i="155"/>
  <c r="J10" i="155"/>
  <c r="N10" i="155"/>
  <c r="N12" i="155" s="1"/>
  <c r="H217" i="153"/>
  <c r="G217" i="153"/>
  <c r="F217" i="153"/>
  <c r="E217" i="153"/>
  <c r="D217" i="153"/>
  <c r="C217" i="153"/>
  <c r="B217" i="153"/>
  <c r="A217" i="153"/>
  <c r="H216" i="153"/>
  <c r="G216" i="153"/>
  <c r="F216" i="153"/>
  <c r="E216" i="153"/>
  <c r="D216" i="153"/>
  <c r="C216" i="153"/>
  <c r="B216" i="153"/>
  <c r="A216" i="153"/>
  <c r="H215" i="153"/>
  <c r="G215" i="153"/>
  <c r="F215" i="153"/>
  <c r="E215" i="153"/>
  <c r="D215" i="153"/>
  <c r="C215" i="153"/>
  <c r="B215" i="153"/>
  <c r="A215" i="153"/>
  <c r="H214" i="153"/>
  <c r="G214" i="153"/>
  <c r="F214" i="153"/>
  <c r="E214" i="153"/>
  <c r="D214" i="153"/>
  <c r="C214" i="153"/>
  <c r="B214" i="153"/>
  <c r="A214" i="153"/>
  <c r="H213" i="153"/>
  <c r="G213" i="153"/>
  <c r="F213" i="153"/>
  <c r="E213" i="153"/>
  <c r="D213" i="153"/>
  <c r="C213" i="153"/>
  <c r="B213" i="153"/>
  <c r="A213" i="153"/>
  <c r="H212" i="153"/>
  <c r="G212" i="153"/>
  <c r="F212" i="153"/>
  <c r="E212" i="153"/>
  <c r="D212" i="153"/>
  <c r="C212" i="153"/>
  <c r="B212" i="153"/>
  <c r="A212" i="153"/>
  <c r="H211" i="153"/>
  <c r="G211" i="153"/>
  <c r="F211" i="153"/>
  <c r="E211" i="153"/>
  <c r="D211" i="153"/>
  <c r="C211" i="153"/>
  <c r="B211" i="153"/>
  <c r="A211" i="153"/>
  <c r="H210" i="153"/>
  <c r="G210" i="153"/>
  <c r="F210" i="153"/>
  <c r="E210" i="153"/>
  <c r="D210" i="153"/>
  <c r="C210" i="153"/>
  <c r="B210" i="153"/>
  <c r="A210" i="153"/>
  <c r="H209" i="153"/>
  <c r="G209" i="153"/>
  <c r="F209" i="153"/>
  <c r="E209" i="153"/>
  <c r="D209" i="153"/>
  <c r="C209" i="153"/>
  <c r="B209" i="153"/>
  <c r="A209" i="153"/>
  <c r="H208" i="153"/>
  <c r="G208" i="153"/>
  <c r="F208" i="153"/>
  <c r="E208" i="153"/>
  <c r="D208" i="153"/>
  <c r="C208" i="153"/>
  <c r="B208" i="153"/>
  <c r="A208" i="153"/>
  <c r="H207" i="153"/>
  <c r="G207" i="153"/>
  <c r="F207" i="153"/>
  <c r="E207" i="153"/>
  <c r="D207" i="153"/>
  <c r="C207" i="153"/>
  <c r="B207" i="153"/>
  <c r="A207" i="153"/>
  <c r="H206" i="153"/>
  <c r="G206" i="153"/>
  <c r="F206" i="153"/>
  <c r="E206" i="153"/>
  <c r="D206" i="153"/>
  <c r="C206" i="153"/>
  <c r="B206" i="153"/>
  <c r="A206" i="153"/>
  <c r="H205" i="153"/>
  <c r="G205" i="153"/>
  <c r="F205" i="153"/>
  <c r="E205" i="153"/>
  <c r="D205" i="153"/>
  <c r="C205" i="153"/>
  <c r="B205" i="153"/>
  <c r="A205" i="153"/>
  <c r="H204" i="153"/>
  <c r="G204" i="153"/>
  <c r="F204" i="153"/>
  <c r="E204" i="153"/>
  <c r="D204" i="153"/>
  <c r="C204" i="153"/>
  <c r="B204" i="153"/>
  <c r="A204" i="153"/>
  <c r="H203" i="153"/>
  <c r="G203" i="153"/>
  <c r="F203" i="153"/>
  <c r="E203" i="153"/>
  <c r="D203" i="153"/>
  <c r="C203" i="153"/>
  <c r="B203" i="153"/>
  <c r="A203" i="153"/>
  <c r="H202" i="153"/>
  <c r="G202" i="153"/>
  <c r="F202" i="153"/>
  <c r="E202" i="153"/>
  <c r="D202" i="153"/>
  <c r="C202" i="153"/>
  <c r="B202" i="153"/>
  <c r="A202" i="153"/>
  <c r="H201" i="153"/>
  <c r="G201" i="153"/>
  <c r="F201" i="153"/>
  <c r="E201" i="153"/>
  <c r="D201" i="153"/>
  <c r="C201" i="153"/>
  <c r="B201" i="153"/>
  <c r="A201" i="153"/>
  <c r="H200" i="153"/>
  <c r="G200" i="153"/>
  <c r="F200" i="153"/>
  <c r="E200" i="153"/>
  <c r="D200" i="153"/>
  <c r="C200" i="153"/>
  <c r="B200" i="153"/>
  <c r="A200" i="153"/>
  <c r="H199" i="153"/>
  <c r="G199" i="153"/>
  <c r="F199" i="153"/>
  <c r="E199" i="153"/>
  <c r="D199" i="153"/>
  <c r="C199" i="153"/>
  <c r="B199" i="153"/>
  <c r="A199" i="153"/>
  <c r="H198" i="153"/>
  <c r="G198" i="153"/>
  <c r="F198" i="153"/>
  <c r="E198" i="153"/>
  <c r="D198" i="153"/>
  <c r="C198" i="153"/>
  <c r="B198" i="153"/>
  <c r="A198" i="153"/>
  <c r="H197" i="153"/>
  <c r="G197" i="153"/>
  <c r="F197" i="153"/>
  <c r="E197" i="153"/>
  <c r="D197" i="153"/>
  <c r="C197" i="153"/>
  <c r="B197" i="153"/>
  <c r="A197" i="153"/>
  <c r="H196" i="153"/>
  <c r="G196" i="153"/>
  <c r="F196" i="153"/>
  <c r="E196" i="153"/>
  <c r="D196" i="153"/>
  <c r="C196" i="153"/>
  <c r="B196" i="153"/>
  <c r="A196" i="153"/>
  <c r="H195" i="153"/>
  <c r="G195" i="153"/>
  <c r="F195" i="153"/>
  <c r="E195" i="153"/>
  <c r="D195" i="153"/>
  <c r="C195" i="153"/>
  <c r="B195" i="153"/>
  <c r="A195" i="153"/>
  <c r="H194" i="153"/>
  <c r="G194" i="153"/>
  <c r="F194" i="153"/>
  <c r="E194" i="153"/>
  <c r="D194" i="153"/>
  <c r="C194" i="153"/>
  <c r="B194" i="153"/>
  <c r="A194" i="153"/>
  <c r="H193" i="153"/>
  <c r="G193" i="153"/>
  <c r="F193" i="153"/>
  <c r="E193" i="153"/>
  <c r="D193" i="153"/>
  <c r="C193" i="153"/>
  <c r="B193" i="153"/>
  <c r="A193" i="153"/>
  <c r="H192" i="153"/>
  <c r="G192" i="153"/>
  <c r="F192" i="153"/>
  <c r="E192" i="153"/>
  <c r="D192" i="153"/>
  <c r="C192" i="153"/>
  <c r="B192" i="153"/>
  <c r="A192" i="153"/>
  <c r="H191" i="153"/>
  <c r="G191" i="153"/>
  <c r="F191" i="153"/>
  <c r="E191" i="153"/>
  <c r="D191" i="153"/>
  <c r="C191" i="153"/>
  <c r="B191" i="153"/>
  <c r="A191" i="153"/>
  <c r="H190" i="153"/>
  <c r="G190" i="153"/>
  <c r="F190" i="153"/>
  <c r="E190" i="153"/>
  <c r="D190" i="153"/>
  <c r="C190" i="153"/>
  <c r="B190" i="153"/>
  <c r="A190" i="153"/>
  <c r="H189" i="153"/>
  <c r="G189" i="153"/>
  <c r="F189" i="153"/>
  <c r="E189" i="153"/>
  <c r="D189" i="153"/>
  <c r="C189" i="153"/>
  <c r="B189" i="153"/>
  <c r="A189" i="153"/>
  <c r="H188" i="153"/>
  <c r="G188" i="153"/>
  <c r="F188" i="153"/>
  <c r="E188" i="153"/>
  <c r="D188" i="153"/>
  <c r="C188" i="153"/>
  <c r="B188" i="153"/>
  <c r="A188" i="153"/>
  <c r="H187" i="153"/>
  <c r="G187" i="153"/>
  <c r="F187" i="153"/>
  <c r="E187" i="153"/>
  <c r="D187" i="153"/>
  <c r="C187" i="153"/>
  <c r="B187" i="153"/>
  <c r="A187" i="153"/>
  <c r="H186" i="153"/>
  <c r="G186" i="153"/>
  <c r="F186" i="153"/>
  <c r="E186" i="153"/>
  <c r="D186" i="153"/>
  <c r="C186" i="153"/>
  <c r="B186" i="153"/>
  <c r="A186" i="153"/>
  <c r="H185" i="153"/>
  <c r="G185" i="153"/>
  <c r="F185" i="153"/>
  <c r="E185" i="153"/>
  <c r="D185" i="153"/>
  <c r="C185" i="153"/>
  <c r="B185" i="153"/>
  <c r="A185" i="153"/>
  <c r="H184" i="153"/>
  <c r="G184" i="153"/>
  <c r="F184" i="153"/>
  <c r="E184" i="153"/>
  <c r="D184" i="153"/>
  <c r="C184" i="153"/>
  <c r="B184" i="153"/>
  <c r="A184" i="153"/>
  <c r="H183" i="153"/>
  <c r="G183" i="153"/>
  <c r="F183" i="153"/>
  <c r="E183" i="153"/>
  <c r="D183" i="153"/>
  <c r="C183" i="153"/>
  <c r="B183" i="153"/>
  <c r="A183" i="153"/>
  <c r="H182" i="153"/>
  <c r="G182" i="153"/>
  <c r="F182" i="153"/>
  <c r="E182" i="153"/>
  <c r="D182" i="153"/>
  <c r="C182" i="153"/>
  <c r="B182" i="153"/>
  <c r="A182" i="153"/>
  <c r="H181" i="153"/>
  <c r="G181" i="153"/>
  <c r="F181" i="153"/>
  <c r="E181" i="153"/>
  <c r="D181" i="153"/>
  <c r="C181" i="153"/>
  <c r="B181" i="153"/>
  <c r="A181" i="153"/>
  <c r="H180" i="153"/>
  <c r="G180" i="153"/>
  <c r="F180" i="153"/>
  <c r="E180" i="153"/>
  <c r="D180" i="153"/>
  <c r="C180" i="153"/>
  <c r="B180" i="153"/>
  <c r="A180" i="153"/>
  <c r="H179" i="153"/>
  <c r="G179" i="153"/>
  <c r="F179" i="153"/>
  <c r="E179" i="153"/>
  <c r="D179" i="153"/>
  <c r="C179" i="153"/>
  <c r="B179" i="153"/>
  <c r="A179" i="153"/>
  <c r="H178" i="153"/>
  <c r="G178" i="153"/>
  <c r="F178" i="153"/>
  <c r="E178" i="153"/>
  <c r="D178" i="153"/>
  <c r="C178" i="153"/>
  <c r="B178" i="153"/>
  <c r="A178" i="153"/>
  <c r="H177" i="153"/>
  <c r="G177" i="153"/>
  <c r="F177" i="153"/>
  <c r="E177" i="153"/>
  <c r="D177" i="153"/>
  <c r="C177" i="153"/>
  <c r="B177" i="153"/>
  <c r="A177" i="153"/>
  <c r="H176" i="153"/>
  <c r="G176" i="153"/>
  <c r="F176" i="153"/>
  <c r="E176" i="153"/>
  <c r="D176" i="153"/>
  <c r="C176" i="153"/>
  <c r="B176" i="153"/>
  <c r="A176" i="153"/>
  <c r="H175" i="153"/>
  <c r="G175" i="153"/>
  <c r="F175" i="153"/>
  <c r="E175" i="153"/>
  <c r="D175" i="153"/>
  <c r="C175" i="153"/>
  <c r="B175" i="153"/>
  <c r="A175" i="153"/>
  <c r="H174" i="153"/>
  <c r="G174" i="153"/>
  <c r="F174" i="153"/>
  <c r="E174" i="153"/>
  <c r="D174" i="153"/>
  <c r="C174" i="153"/>
  <c r="B174" i="153"/>
  <c r="A174" i="153"/>
  <c r="H173" i="153"/>
  <c r="G173" i="153"/>
  <c r="F173" i="153"/>
  <c r="E173" i="153"/>
  <c r="D173" i="153"/>
  <c r="C173" i="153"/>
  <c r="B173" i="153"/>
  <c r="A173" i="153"/>
  <c r="H172" i="153"/>
  <c r="G172" i="153"/>
  <c r="F172" i="153"/>
  <c r="E172" i="153"/>
  <c r="D172" i="153"/>
  <c r="C172" i="153"/>
  <c r="B172" i="153"/>
  <c r="A172" i="153"/>
  <c r="H171" i="153"/>
  <c r="G171" i="153"/>
  <c r="F171" i="153"/>
  <c r="E171" i="153"/>
  <c r="D171" i="153"/>
  <c r="C171" i="153"/>
  <c r="B171" i="153"/>
  <c r="A171" i="153"/>
  <c r="H170" i="153"/>
  <c r="G170" i="153"/>
  <c r="F170" i="153"/>
  <c r="E170" i="153"/>
  <c r="D170" i="153"/>
  <c r="C170" i="153"/>
  <c r="B170" i="153"/>
  <c r="A170" i="153"/>
  <c r="H169" i="153"/>
  <c r="G169" i="153"/>
  <c r="F169" i="153"/>
  <c r="E169" i="153"/>
  <c r="D169" i="153"/>
  <c r="C169" i="153"/>
  <c r="B169" i="153"/>
  <c r="A169" i="153"/>
  <c r="H168" i="153"/>
  <c r="G168" i="153"/>
  <c r="F168" i="153"/>
  <c r="E168" i="153"/>
  <c r="D168" i="153"/>
  <c r="C168" i="153"/>
  <c r="B168" i="153"/>
  <c r="A168" i="153"/>
  <c r="H167" i="153"/>
  <c r="G167" i="153"/>
  <c r="F167" i="153"/>
  <c r="E167" i="153"/>
  <c r="D167" i="153"/>
  <c r="C167" i="153"/>
  <c r="B167" i="153"/>
  <c r="A167" i="153"/>
  <c r="H166" i="153"/>
  <c r="G166" i="153"/>
  <c r="F166" i="153"/>
  <c r="E166" i="153"/>
  <c r="D166" i="153"/>
  <c r="C166" i="153"/>
  <c r="B166" i="153"/>
  <c r="A166" i="153"/>
  <c r="H165" i="153"/>
  <c r="G165" i="153"/>
  <c r="F165" i="153"/>
  <c r="E165" i="153"/>
  <c r="D165" i="153"/>
  <c r="C165" i="153"/>
  <c r="B165" i="153"/>
  <c r="A165" i="153"/>
  <c r="H164" i="153"/>
  <c r="G164" i="153"/>
  <c r="F164" i="153"/>
  <c r="E164" i="153"/>
  <c r="D164" i="153"/>
  <c r="C164" i="153"/>
  <c r="B164" i="153"/>
  <c r="A164" i="153"/>
  <c r="H163" i="153"/>
  <c r="G163" i="153"/>
  <c r="F163" i="153"/>
  <c r="E163" i="153"/>
  <c r="D163" i="153"/>
  <c r="C163" i="153"/>
  <c r="B163" i="153"/>
  <c r="A163" i="153"/>
  <c r="H162" i="153"/>
  <c r="G162" i="153"/>
  <c r="F162" i="153"/>
  <c r="E162" i="153"/>
  <c r="D162" i="153"/>
  <c r="C162" i="153"/>
  <c r="B162" i="153"/>
  <c r="A162" i="153"/>
  <c r="H161" i="153"/>
  <c r="G161" i="153"/>
  <c r="F161" i="153"/>
  <c r="E161" i="153"/>
  <c r="D161" i="153"/>
  <c r="C161" i="153"/>
  <c r="B161" i="153"/>
  <c r="A161" i="153"/>
  <c r="H160" i="153"/>
  <c r="G160" i="153"/>
  <c r="F160" i="153"/>
  <c r="E160" i="153"/>
  <c r="D160" i="153"/>
  <c r="C160" i="153"/>
  <c r="B160" i="153"/>
  <c r="A160" i="153"/>
  <c r="H159" i="153"/>
  <c r="G159" i="153"/>
  <c r="F159" i="153"/>
  <c r="E159" i="153"/>
  <c r="D159" i="153"/>
  <c r="C159" i="153"/>
  <c r="B159" i="153"/>
  <c r="A159" i="153"/>
  <c r="H158" i="153"/>
  <c r="G158" i="153"/>
  <c r="F158" i="153"/>
  <c r="E158" i="153"/>
  <c r="D158" i="153"/>
  <c r="C158" i="153"/>
  <c r="B158" i="153"/>
  <c r="A158" i="153"/>
  <c r="H157" i="153"/>
  <c r="G157" i="153"/>
  <c r="F157" i="153"/>
  <c r="E157" i="153"/>
  <c r="D157" i="153"/>
  <c r="C157" i="153"/>
  <c r="B157" i="153"/>
  <c r="A157" i="153"/>
  <c r="H156" i="153"/>
  <c r="G156" i="153"/>
  <c r="F156" i="153"/>
  <c r="E156" i="153"/>
  <c r="D156" i="153"/>
  <c r="C156" i="153"/>
  <c r="B156" i="153"/>
  <c r="A156" i="153"/>
  <c r="H155" i="153"/>
  <c r="G155" i="153"/>
  <c r="F155" i="153"/>
  <c r="E155" i="153"/>
  <c r="D155" i="153"/>
  <c r="C155" i="153"/>
  <c r="B155" i="153"/>
  <c r="A155" i="153"/>
  <c r="H154" i="153"/>
  <c r="G154" i="153"/>
  <c r="F154" i="153"/>
  <c r="E154" i="153"/>
  <c r="D154" i="153"/>
  <c r="C154" i="153"/>
  <c r="B154" i="153"/>
  <c r="A154" i="153"/>
  <c r="H153" i="153"/>
  <c r="G153" i="153"/>
  <c r="F153" i="153"/>
  <c r="E153" i="153"/>
  <c r="D153" i="153"/>
  <c r="C153" i="153"/>
  <c r="B153" i="153"/>
  <c r="A153" i="153"/>
  <c r="H152" i="153"/>
  <c r="G152" i="153"/>
  <c r="F152" i="153"/>
  <c r="E152" i="153"/>
  <c r="D152" i="153"/>
  <c r="C152" i="153"/>
  <c r="B152" i="153"/>
  <c r="A152" i="153"/>
  <c r="H151" i="153"/>
  <c r="G151" i="153"/>
  <c r="F151" i="153"/>
  <c r="E151" i="153"/>
  <c r="D151" i="153"/>
  <c r="C151" i="153"/>
  <c r="B151" i="153"/>
  <c r="A151" i="153"/>
  <c r="H150" i="153"/>
  <c r="G150" i="153"/>
  <c r="F150" i="153"/>
  <c r="E150" i="153"/>
  <c r="D150" i="153"/>
  <c r="C150" i="153"/>
  <c r="B150" i="153"/>
  <c r="A150" i="153"/>
  <c r="H149" i="153"/>
  <c r="G149" i="153"/>
  <c r="F149" i="153"/>
  <c r="E149" i="153"/>
  <c r="D149" i="153"/>
  <c r="C149" i="153"/>
  <c r="B149" i="153"/>
  <c r="A149" i="153"/>
  <c r="H148" i="153"/>
  <c r="G148" i="153"/>
  <c r="F148" i="153"/>
  <c r="E148" i="153"/>
  <c r="D148" i="153"/>
  <c r="C148" i="153"/>
  <c r="B148" i="153"/>
  <c r="A148" i="153"/>
  <c r="H147" i="153"/>
  <c r="G147" i="153"/>
  <c r="F147" i="153"/>
  <c r="E147" i="153"/>
  <c r="D147" i="153"/>
  <c r="C147" i="153"/>
  <c r="B147" i="153"/>
  <c r="A147" i="153"/>
  <c r="H146" i="153"/>
  <c r="G146" i="153"/>
  <c r="F146" i="153"/>
  <c r="E146" i="153"/>
  <c r="D146" i="153"/>
  <c r="C146" i="153"/>
  <c r="B146" i="153"/>
  <c r="A146" i="153"/>
  <c r="H145" i="153"/>
  <c r="G145" i="153"/>
  <c r="F145" i="153"/>
  <c r="E145" i="153"/>
  <c r="D145" i="153"/>
  <c r="C145" i="153"/>
  <c r="B145" i="153"/>
  <c r="A145" i="153"/>
  <c r="H144" i="153"/>
  <c r="G144" i="153"/>
  <c r="F144" i="153"/>
  <c r="E144" i="153"/>
  <c r="D144" i="153"/>
  <c r="C144" i="153"/>
  <c r="B144" i="153"/>
  <c r="A144" i="153"/>
  <c r="H143" i="153"/>
  <c r="G143" i="153"/>
  <c r="F143" i="153"/>
  <c r="E143" i="153"/>
  <c r="D143" i="153"/>
  <c r="C143" i="153"/>
  <c r="B143" i="153"/>
  <c r="A143" i="153"/>
  <c r="H142" i="153"/>
  <c r="G142" i="153"/>
  <c r="F142" i="153"/>
  <c r="E142" i="153"/>
  <c r="D142" i="153"/>
  <c r="C142" i="153"/>
  <c r="B142" i="153"/>
  <c r="A142" i="153"/>
  <c r="H141" i="153"/>
  <c r="G141" i="153"/>
  <c r="F141" i="153"/>
  <c r="E141" i="153"/>
  <c r="D141" i="153"/>
  <c r="C141" i="153"/>
  <c r="B141" i="153"/>
  <c r="A141" i="153"/>
  <c r="H140" i="153"/>
  <c r="G140" i="153"/>
  <c r="F140" i="153"/>
  <c r="E140" i="153"/>
  <c r="D140" i="153"/>
  <c r="C140" i="153"/>
  <c r="B140" i="153"/>
  <c r="A140" i="153"/>
  <c r="H139" i="153"/>
  <c r="G139" i="153"/>
  <c r="F139" i="153"/>
  <c r="E139" i="153"/>
  <c r="D139" i="153"/>
  <c r="C139" i="153"/>
  <c r="B139" i="153"/>
  <c r="A139" i="153"/>
  <c r="H138" i="153"/>
  <c r="G138" i="153"/>
  <c r="F138" i="153"/>
  <c r="E138" i="153"/>
  <c r="D138" i="153"/>
  <c r="C138" i="153"/>
  <c r="B138" i="153"/>
  <c r="A138" i="153"/>
  <c r="H137" i="153"/>
  <c r="G137" i="153"/>
  <c r="F137" i="153"/>
  <c r="E137" i="153"/>
  <c r="D137" i="153"/>
  <c r="C137" i="153"/>
  <c r="B137" i="153"/>
  <c r="A137" i="153"/>
  <c r="H136" i="153"/>
  <c r="G136" i="153"/>
  <c r="F136" i="153"/>
  <c r="E136" i="153"/>
  <c r="D136" i="153"/>
  <c r="C136" i="153"/>
  <c r="B136" i="153"/>
  <c r="A136" i="153"/>
  <c r="H135" i="153"/>
  <c r="G135" i="153"/>
  <c r="F135" i="153"/>
  <c r="E135" i="153"/>
  <c r="D135" i="153"/>
  <c r="C135" i="153"/>
  <c r="B135" i="153"/>
  <c r="A135" i="153"/>
  <c r="H134" i="153"/>
  <c r="G134" i="153"/>
  <c r="F134" i="153"/>
  <c r="E134" i="153"/>
  <c r="D134" i="153"/>
  <c r="C134" i="153"/>
  <c r="B134" i="153"/>
  <c r="A134" i="153"/>
  <c r="H133" i="153"/>
  <c r="G133" i="153"/>
  <c r="F133" i="153"/>
  <c r="E133" i="153"/>
  <c r="D133" i="153"/>
  <c r="C133" i="153"/>
  <c r="B133" i="153"/>
  <c r="A133" i="153"/>
  <c r="H132" i="153"/>
  <c r="G132" i="153"/>
  <c r="F132" i="153"/>
  <c r="E132" i="153"/>
  <c r="D132" i="153"/>
  <c r="C132" i="153"/>
  <c r="B132" i="153"/>
  <c r="A132" i="153"/>
  <c r="H131" i="153"/>
  <c r="G131" i="153"/>
  <c r="F131" i="153"/>
  <c r="E131" i="153"/>
  <c r="D131" i="153"/>
  <c r="C131" i="153"/>
  <c r="B131" i="153"/>
  <c r="A131" i="153"/>
  <c r="H130" i="153"/>
  <c r="G130" i="153"/>
  <c r="F130" i="153"/>
  <c r="E130" i="153"/>
  <c r="D130" i="153"/>
  <c r="C130" i="153"/>
  <c r="B130" i="153"/>
  <c r="A130" i="153"/>
  <c r="H129" i="153"/>
  <c r="G129" i="153"/>
  <c r="F129" i="153"/>
  <c r="E129" i="153"/>
  <c r="D129" i="153"/>
  <c r="C129" i="153"/>
  <c r="B129" i="153"/>
  <c r="A129" i="153"/>
  <c r="H128" i="153"/>
  <c r="G128" i="153"/>
  <c r="F128" i="153"/>
  <c r="E128" i="153"/>
  <c r="D128" i="153"/>
  <c r="C128" i="153"/>
  <c r="B128" i="153"/>
  <c r="A128" i="153"/>
  <c r="H127" i="153"/>
  <c r="G127" i="153"/>
  <c r="F127" i="153"/>
  <c r="E127" i="153"/>
  <c r="D127" i="153"/>
  <c r="C127" i="153"/>
  <c r="B127" i="153"/>
  <c r="A127" i="153"/>
  <c r="H126" i="153"/>
  <c r="G126" i="153"/>
  <c r="F126" i="153"/>
  <c r="E126" i="153"/>
  <c r="D126" i="153"/>
  <c r="C126" i="153"/>
  <c r="B126" i="153"/>
  <c r="A126" i="153"/>
  <c r="H125" i="153"/>
  <c r="G125" i="153"/>
  <c r="F125" i="153"/>
  <c r="E125" i="153"/>
  <c r="D125" i="153"/>
  <c r="C125" i="153"/>
  <c r="B125" i="153"/>
  <c r="A125" i="153"/>
  <c r="H124" i="153"/>
  <c r="G124" i="153"/>
  <c r="F124" i="153"/>
  <c r="E124" i="153"/>
  <c r="D124" i="153"/>
  <c r="C124" i="153"/>
  <c r="B124" i="153"/>
  <c r="A124" i="153"/>
  <c r="H123" i="153"/>
  <c r="G123" i="153"/>
  <c r="F123" i="153"/>
  <c r="E123" i="153"/>
  <c r="D123" i="153"/>
  <c r="C123" i="153"/>
  <c r="B123" i="153"/>
  <c r="A123" i="153"/>
  <c r="H122" i="153"/>
  <c r="G122" i="153"/>
  <c r="F122" i="153"/>
  <c r="E122" i="153"/>
  <c r="D122" i="153"/>
  <c r="C122" i="153"/>
  <c r="B122" i="153"/>
  <c r="A122" i="153"/>
  <c r="H121" i="153"/>
  <c r="G121" i="153"/>
  <c r="F121" i="153"/>
  <c r="E121" i="153"/>
  <c r="D121" i="153"/>
  <c r="C121" i="153"/>
  <c r="B121" i="153"/>
  <c r="A121" i="153"/>
  <c r="H120" i="153"/>
  <c r="G120" i="153"/>
  <c r="F120" i="153"/>
  <c r="E120" i="153"/>
  <c r="D120" i="153"/>
  <c r="C120" i="153"/>
  <c r="B120" i="153"/>
  <c r="A120" i="153"/>
  <c r="H119" i="153"/>
  <c r="G119" i="153"/>
  <c r="F119" i="153"/>
  <c r="E119" i="153"/>
  <c r="D119" i="153"/>
  <c r="C119" i="153"/>
  <c r="B119" i="153"/>
  <c r="A119" i="153"/>
  <c r="H118" i="153"/>
  <c r="G118" i="153"/>
  <c r="F118" i="153"/>
  <c r="E118" i="153"/>
  <c r="D118" i="153"/>
  <c r="C118" i="153"/>
  <c r="B118" i="153"/>
  <c r="A118" i="153"/>
  <c r="H117" i="153"/>
  <c r="G117" i="153"/>
  <c r="F117" i="153"/>
  <c r="E117" i="153"/>
  <c r="D117" i="153"/>
  <c r="C117" i="153"/>
  <c r="B117" i="153"/>
  <c r="A117" i="153"/>
  <c r="H116" i="153"/>
  <c r="G116" i="153"/>
  <c r="F116" i="153"/>
  <c r="E116" i="153"/>
  <c r="D116" i="153"/>
  <c r="C116" i="153"/>
  <c r="B116" i="153"/>
  <c r="A116" i="153"/>
  <c r="H115" i="153"/>
  <c r="G115" i="153"/>
  <c r="F115" i="153"/>
  <c r="E115" i="153"/>
  <c r="D115" i="153"/>
  <c r="C115" i="153"/>
  <c r="B115" i="153"/>
  <c r="A115" i="153"/>
  <c r="H114" i="153"/>
  <c r="G114" i="153"/>
  <c r="F114" i="153"/>
  <c r="E114" i="153"/>
  <c r="D114" i="153"/>
  <c r="C114" i="153"/>
  <c r="B114" i="153"/>
  <c r="A114" i="153"/>
  <c r="H113" i="153"/>
  <c r="G113" i="153"/>
  <c r="F113" i="153"/>
  <c r="E113" i="153"/>
  <c r="D113" i="153"/>
  <c r="C113" i="153"/>
  <c r="B113" i="153"/>
  <c r="A113" i="153"/>
  <c r="H112" i="153"/>
  <c r="G112" i="153"/>
  <c r="F112" i="153"/>
  <c r="E112" i="153"/>
  <c r="D112" i="153"/>
  <c r="C112" i="153"/>
  <c r="B112" i="153"/>
  <c r="A112" i="153"/>
  <c r="H111" i="153"/>
  <c r="G111" i="153"/>
  <c r="F111" i="153"/>
  <c r="E111" i="153"/>
  <c r="D111" i="153"/>
  <c r="C111" i="153"/>
  <c r="B111" i="153"/>
  <c r="A111" i="153"/>
  <c r="H110" i="153"/>
  <c r="G110" i="153"/>
  <c r="F110" i="153"/>
  <c r="E110" i="153"/>
  <c r="D110" i="153"/>
  <c r="C110" i="153"/>
  <c r="B110" i="153"/>
  <c r="A110" i="153"/>
  <c r="H109" i="153"/>
  <c r="G109" i="153"/>
  <c r="F109" i="153"/>
  <c r="E109" i="153"/>
  <c r="D109" i="153"/>
  <c r="C109" i="153"/>
  <c r="B109" i="153"/>
  <c r="A109" i="153"/>
  <c r="H108" i="153"/>
  <c r="G108" i="153"/>
  <c r="F108" i="153"/>
  <c r="E108" i="153"/>
  <c r="D108" i="153"/>
  <c r="C108" i="153"/>
  <c r="B108" i="153"/>
  <c r="A108" i="153"/>
  <c r="H107" i="153"/>
  <c r="G107" i="153"/>
  <c r="F107" i="153"/>
  <c r="E107" i="153"/>
  <c r="D107" i="153"/>
  <c r="C107" i="153"/>
  <c r="B107" i="153"/>
  <c r="A107" i="153"/>
  <c r="H106" i="153"/>
  <c r="G106" i="153"/>
  <c r="F106" i="153"/>
  <c r="E106" i="153"/>
  <c r="D106" i="153"/>
  <c r="C106" i="153"/>
  <c r="B106" i="153"/>
  <c r="A106" i="153"/>
  <c r="H105" i="153"/>
  <c r="G105" i="153"/>
  <c r="F105" i="153"/>
  <c r="E105" i="153"/>
  <c r="D105" i="153"/>
  <c r="C105" i="153"/>
  <c r="B105" i="153"/>
  <c r="A105" i="153"/>
  <c r="H104" i="153"/>
  <c r="G104" i="153"/>
  <c r="F104" i="153"/>
  <c r="E104" i="153"/>
  <c r="D104" i="153"/>
  <c r="C104" i="153"/>
  <c r="B104" i="153"/>
  <c r="A104" i="153"/>
  <c r="H103" i="153"/>
  <c r="G103" i="153"/>
  <c r="F103" i="153"/>
  <c r="E103" i="153"/>
  <c r="D103" i="153"/>
  <c r="C103" i="153"/>
  <c r="B103" i="153"/>
  <c r="A103" i="153"/>
  <c r="H102" i="153"/>
  <c r="G102" i="153"/>
  <c r="F102" i="153"/>
  <c r="E102" i="153"/>
  <c r="D102" i="153"/>
  <c r="C102" i="153"/>
  <c r="B102" i="153"/>
  <c r="A102" i="153"/>
  <c r="H101" i="153"/>
  <c r="G101" i="153"/>
  <c r="F101" i="153"/>
  <c r="E101" i="153"/>
  <c r="D101" i="153"/>
  <c r="C101" i="153"/>
  <c r="B101" i="153"/>
  <c r="A101" i="153"/>
  <c r="H100" i="153"/>
  <c r="G100" i="153"/>
  <c r="F100" i="153"/>
  <c r="E100" i="153"/>
  <c r="D100" i="153"/>
  <c r="C100" i="153"/>
  <c r="B100" i="153"/>
  <c r="A100" i="153"/>
  <c r="H99" i="153"/>
  <c r="G99" i="153"/>
  <c r="F99" i="153"/>
  <c r="E99" i="153"/>
  <c r="D99" i="153"/>
  <c r="C99" i="153"/>
  <c r="B99" i="153"/>
  <c r="A99" i="153"/>
  <c r="H98" i="153"/>
  <c r="G98" i="153"/>
  <c r="F98" i="153"/>
  <c r="E98" i="153"/>
  <c r="D98" i="153"/>
  <c r="C98" i="153"/>
  <c r="B98" i="153"/>
  <c r="A98" i="153"/>
  <c r="H97" i="153"/>
  <c r="G97" i="153"/>
  <c r="F97" i="153"/>
  <c r="E97" i="153"/>
  <c r="D97" i="153"/>
  <c r="C97" i="153"/>
  <c r="B97" i="153"/>
  <c r="A97" i="153"/>
  <c r="H96" i="153"/>
  <c r="G96" i="153"/>
  <c r="F96" i="153"/>
  <c r="E96" i="153"/>
  <c r="D96" i="153"/>
  <c r="C96" i="153"/>
  <c r="B96" i="153"/>
  <c r="A96" i="153"/>
  <c r="H95" i="153"/>
  <c r="G95" i="153"/>
  <c r="F95" i="153"/>
  <c r="E95" i="153"/>
  <c r="D95" i="153"/>
  <c r="C95" i="153"/>
  <c r="B95" i="153"/>
  <c r="A95" i="153"/>
  <c r="H94" i="153"/>
  <c r="G94" i="153"/>
  <c r="F94" i="153"/>
  <c r="E94" i="153"/>
  <c r="D94" i="153"/>
  <c r="C94" i="153"/>
  <c r="B94" i="153"/>
  <c r="A94" i="153"/>
  <c r="H93" i="153"/>
  <c r="G93" i="153"/>
  <c r="F93" i="153"/>
  <c r="E93" i="153"/>
  <c r="D93" i="153"/>
  <c r="C93" i="153"/>
  <c r="B93" i="153"/>
  <c r="A93" i="153"/>
  <c r="H92" i="153"/>
  <c r="G92" i="153"/>
  <c r="F92" i="153"/>
  <c r="E92" i="153"/>
  <c r="D92" i="153"/>
  <c r="C92" i="153"/>
  <c r="B92" i="153"/>
  <c r="A92" i="153"/>
  <c r="H91" i="153"/>
  <c r="G91" i="153"/>
  <c r="F91" i="153"/>
  <c r="E91" i="153"/>
  <c r="D91" i="153"/>
  <c r="C91" i="153"/>
  <c r="B91" i="153"/>
  <c r="A91" i="153"/>
  <c r="H90" i="153"/>
  <c r="G90" i="153"/>
  <c r="F90" i="153"/>
  <c r="E90" i="153"/>
  <c r="D90" i="153"/>
  <c r="C90" i="153"/>
  <c r="B90" i="153"/>
  <c r="A90" i="153"/>
  <c r="H89" i="153"/>
  <c r="G89" i="153"/>
  <c r="F89" i="153"/>
  <c r="E89" i="153"/>
  <c r="D89" i="153"/>
  <c r="C89" i="153"/>
  <c r="B89" i="153"/>
  <c r="A89" i="153"/>
  <c r="H88" i="153"/>
  <c r="G88" i="153"/>
  <c r="F88" i="153"/>
  <c r="E88" i="153"/>
  <c r="D88" i="153"/>
  <c r="C88" i="153"/>
  <c r="B88" i="153"/>
  <c r="A88" i="153"/>
  <c r="H87" i="153"/>
  <c r="G87" i="153"/>
  <c r="F87" i="153"/>
  <c r="E87" i="153"/>
  <c r="D87" i="153"/>
  <c r="C87" i="153"/>
  <c r="B87" i="153"/>
  <c r="A87" i="153"/>
  <c r="H86" i="153"/>
  <c r="G86" i="153"/>
  <c r="F86" i="153"/>
  <c r="E86" i="153"/>
  <c r="D86" i="153"/>
  <c r="C86" i="153"/>
  <c r="B86" i="153"/>
  <c r="A86" i="153"/>
  <c r="H85" i="153"/>
  <c r="G85" i="153"/>
  <c r="F85" i="153"/>
  <c r="E85" i="153"/>
  <c r="D85" i="153"/>
  <c r="C85" i="153"/>
  <c r="B85" i="153"/>
  <c r="A85" i="153"/>
  <c r="H84" i="153"/>
  <c r="G84" i="153"/>
  <c r="F84" i="153"/>
  <c r="E84" i="153"/>
  <c r="D84" i="153"/>
  <c r="C84" i="153"/>
  <c r="B84" i="153"/>
  <c r="A84" i="153"/>
  <c r="H83" i="153"/>
  <c r="G83" i="153"/>
  <c r="F83" i="153"/>
  <c r="E83" i="153"/>
  <c r="D83" i="153"/>
  <c r="C83" i="153"/>
  <c r="B83" i="153"/>
  <c r="A83" i="153"/>
  <c r="H82" i="153"/>
  <c r="G82" i="153"/>
  <c r="F82" i="153"/>
  <c r="E82" i="153"/>
  <c r="D82" i="153"/>
  <c r="C82" i="153"/>
  <c r="B82" i="153"/>
  <c r="A82" i="153"/>
  <c r="H81" i="153"/>
  <c r="G81" i="153"/>
  <c r="F81" i="153"/>
  <c r="E81" i="153"/>
  <c r="D81" i="153"/>
  <c r="C81" i="153"/>
  <c r="B81" i="153"/>
  <c r="A81" i="153"/>
  <c r="H80" i="153"/>
  <c r="G80" i="153"/>
  <c r="F80" i="153"/>
  <c r="E80" i="153"/>
  <c r="D80" i="153"/>
  <c r="C80" i="153"/>
  <c r="B80" i="153"/>
  <c r="A80" i="153"/>
  <c r="I24" i="153"/>
  <c r="I23" i="153"/>
  <c r="I22" i="153"/>
  <c r="I21" i="153"/>
  <c r="I20" i="153"/>
  <c r="I17" i="153"/>
  <c r="N13" i="153"/>
  <c r="K12" i="153"/>
  <c r="J12" i="153"/>
  <c r="K11" i="153"/>
  <c r="J11" i="153"/>
  <c r="N11" i="153" s="1"/>
  <c r="K10" i="153"/>
  <c r="N10" i="153" s="1"/>
  <c r="J10" i="153"/>
  <c r="I28" i="152"/>
  <c r="I29" i="152"/>
  <c r="M127" i="3"/>
  <c r="J24" i="152"/>
  <c r="J23" i="152"/>
  <c r="J22" i="152"/>
  <c r="I18" i="152"/>
  <c r="I17" i="152"/>
  <c r="I16" i="152"/>
  <c r="I15" i="152"/>
  <c r="I14" i="152"/>
  <c r="I15" i="150"/>
  <c r="I16" i="150" s="1"/>
  <c r="I14" i="150"/>
  <c r="K10" i="150"/>
  <c r="J10" i="150"/>
  <c r="N10" i="150" s="1"/>
  <c r="N11" i="150" s="1"/>
  <c r="I19" i="149"/>
  <c r="I18" i="149"/>
  <c r="I17" i="149"/>
  <c r="J13" i="149"/>
  <c r="N13" i="149" s="1"/>
  <c r="J12" i="149"/>
  <c r="E12" i="149"/>
  <c r="J11" i="149"/>
  <c r="J10" i="149"/>
  <c r="I16" i="148"/>
  <c r="I15" i="148"/>
  <c r="I17" i="148" s="1"/>
  <c r="I14" i="148"/>
  <c r="J10" i="148"/>
  <c r="E10" i="148"/>
  <c r="I25" i="147"/>
  <c r="I26" i="147"/>
  <c r="M123" i="3" s="1"/>
  <c r="I21" i="147"/>
  <c r="I20" i="147"/>
  <c r="I19" i="147"/>
  <c r="N15" i="147"/>
  <c r="N16" i="147"/>
  <c r="J123" i="3" s="1"/>
  <c r="E11" i="147"/>
  <c r="E10" i="147"/>
  <c r="E9" i="147"/>
  <c r="H14" i="136"/>
  <c r="I14" i="136"/>
  <c r="I18" i="300"/>
  <c r="I18" i="297"/>
  <c r="N1" i="207"/>
  <c r="J175" i="3"/>
  <c r="H175" i="3" s="1"/>
  <c r="I20" i="366"/>
  <c r="I18" i="365"/>
  <c r="K308" i="3" s="1"/>
  <c r="I22" i="364"/>
  <c r="K307" i="3" s="1"/>
  <c r="I41" i="347"/>
  <c r="K292" i="3"/>
  <c r="I17" i="330"/>
  <c r="N12" i="337"/>
  <c r="J284" i="3"/>
  <c r="N18" i="320"/>
  <c r="J272" i="3"/>
  <c r="I18" i="318"/>
  <c r="K270" i="3" s="1"/>
  <c r="N12" i="298"/>
  <c r="L277" i="3"/>
  <c r="I17" i="319"/>
  <c r="I23" i="316"/>
  <c r="K268" i="3"/>
  <c r="N1" i="325"/>
  <c r="C12" i="320" s="1"/>
  <c r="E12" i="320" s="1"/>
  <c r="I16" i="315"/>
  <c r="K266" i="3" s="1"/>
  <c r="I22" i="312"/>
  <c r="I16" i="303"/>
  <c r="N13" i="312"/>
  <c r="J263" i="3" s="1"/>
  <c r="I20" i="313"/>
  <c r="I73" i="302"/>
  <c r="M257" i="3"/>
  <c r="I16" i="314"/>
  <c r="N12" i="308"/>
  <c r="J262" i="3" s="1"/>
  <c r="I20" i="304"/>
  <c r="K259" i="3" s="1"/>
  <c r="I20" i="295"/>
  <c r="K250" i="3" s="1"/>
  <c r="I17" i="296"/>
  <c r="N1" i="291"/>
  <c r="N4" i="291"/>
  <c r="N10" i="148"/>
  <c r="N11" i="148" s="1"/>
  <c r="J124" i="3"/>
  <c r="I16" i="276"/>
  <c r="K233" i="3" s="1"/>
  <c r="J28" i="283"/>
  <c r="L238" i="3" s="1"/>
  <c r="I16" i="287"/>
  <c r="K242" i="3" s="1"/>
  <c r="I16" i="284"/>
  <c r="N22" i="206"/>
  <c r="J174" i="3" s="1"/>
  <c r="I16" i="288"/>
  <c r="I16" i="286"/>
  <c r="I22" i="283"/>
  <c r="K238" i="3"/>
  <c r="I17" i="237"/>
  <c r="N1" i="237" s="1"/>
  <c r="E10" i="150"/>
  <c r="J32" i="167"/>
  <c r="L146" i="3" s="1"/>
  <c r="I17" i="230"/>
  <c r="N1" i="230" s="1"/>
  <c r="I22" i="147"/>
  <c r="K123" i="3"/>
  <c r="I19" i="247"/>
  <c r="K206" i="3" s="1"/>
  <c r="I17" i="272"/>
  <c r="K229" i="3" s="1"/>
  <c r="H229" i="3" s="1"/>
  <c r="N229" i="3" s="1"/>
  <c r="N12" i="220"/>
  <c r="J182" i="3"/>
  <c r="N12" i="254"/>
  <c r="I16" i="273"/>
  <c r="K230" i="3" s="1"/>
  <c r="E13" i="149"/>
  <c r="J151" i="165"/>
  <c r="L138" i="3"/>
  <c r="H138" i="3" s="1"/>
  <c r="N138" i="3" s="1"/>
  <c r="J52" i="249"/>
  <c r="L208" i="3" s="1"/>
  <c r="I17" i="262"/>
  <c r="K220" i="3" s="1"/>
  <c r="I17" i="257"/>
  <c r="I16" i="275"/>
  <c r="K232" i="3" s="1"/>
  <c r="I16" i="256"/>
  <c r="K215" i="3" s="1"/>
  <c r="J25" i="152"/>
  <c r="K127" i="3" s="1"/>
  <c r="N10" i="160"/>
  <c r="N29" i="264"/>
  <c r="J222" i="3"/>
  <c r="I16" i="277"/>
  <c r="N1" i="277" s="1"/>
  <c r="I17" i="229"/>
  <c r="N12" i="153"/>
  <c r="N23" i="193"/>
  <c r="J161" i="3" s="1"/>
  <c r="I17" i="236"/>
  <c r="K197" i="3" s="1"/>
  <c r="I47" i="264"/>
  <c r="K222" i="3" s="1"/>
  <c r="H222" i="3" s="1"/>
  <c r="N222" i="3" s="1"/>
  <c r="J126" i="3"/>
  <c r="J60" i="193"/>
  <c r="L161" i="3" s="1"/>
  <c r="L222" i="3"/>
  <c r="I19" i="162"/>
  <c r="K135" i="3" s="1"/>
  <c r="N12" i="149"/>
  <c r="J54" i="206"/>
  <c r="L174" i="3"/>
  <c r="I17" i="233"/>
  <c r="K204" i="3"/>
  <c r="J59" i="245"/>
  <c r="L204" i="3"/>
  <c r="I17" i="175"/>
  <c r="I16" i="186"/>
  <c r="K140" i="3" s="1"/>
  <c r="H140" i="3" s="1"/>
  <c r="N140" i="3" s="1"/>
  <c r="I16" i="182"/>
  <c r="N1" i="182" s="1"/>
  <c r="K137" i="3"/>
  <c r="I17" i="145"/>
  <c r="I16" i="145"/>
  <c r="I15" i="145"/>
  <c r="I14" i="145"/>
  <c r="J10" i="145"/>
  <c r="N10" i="145" s="1"/>
  <c r="N11" i="145" s="1"/>
  <c r="J121" i="3" s="1"/>
  <c r="F15" i="143"/>
  <c r="I15" i="143"/>
  <c r="I14" i="143"/>
  <c r="I16" i="143" s="1"/>
  <c r="K120" i="3" s="1"/>
  <c r="J10" i="143"/>
  <c r="N10" i="143"/>
  <c r="N11" i="143"/>
  <c r="J120" i="3" s="1"/>
  <c r="I15" i="142"/>
  <c r="J10" i="142"/>
  <c r="N10" i="142"/>
  <c r="N11" i="142"/>
  <c r="N1" i="142" s="1"/>
  <c r="J119" i="3"/>
  <c r="I20" i="140"/>
  <c r="I19" i="140"/>
  <c r="I18" i="140"/>
  <c r="I17" i="140"/>
  <c r="I16" i="140"/>
  <c r="I14" i="140"/>
  <c r="J10" i="140"/>
  <c r="F15" i="140" s="1"/>
  <c r="I15" i="140" s="1"/>
  <c r="I21" i="140" s="1"/>
  <c r="K118" i="3" s="1"/>
  <c r="H118" i="3" s="1"/>
  <c r="N118" i="3" s="1"/>
  <c r="N10" i="140"/>
  <c r="N11" i="140" s="1"/>
  <c r="J118" i="3" s="1"/>
  <c r="I14" i="139"/>
  <c r="J10" i="139"/>
  <c r="N10" i="139"/>
  <c r="N11" i="139" s="1"/>
  <c r="I17" i="138"/>
  <c r="I16" i="138"/>
  <c r="I14" i="138"/>
  <c r="J10" i="138"/>
  <c r="F15" i="138" s="1"/>
  <c r="I15" i="138" s="1"/>
  <c r="I56" i="137"/>
  <c r="I57" i="137"/>
  <c r="M115" i="3" s="1"/>
  <c r="J52" i="137"/>
  <c r="J51" i="137"/>
  <c r="J50" i="137"/>
  <c r="J49" i="137"/>
  <c r="J48" i="137"/>
  <c r="J47" i="137"/>
  <c r="J46" i="137"/>
  <c r="J45" i="137"/>
  <c r="J44" i="137"/>
  <c r="J43" i="137"/>
  <c r="J53" i="137" s="1"/>
  <c r="L115" i="3" s="1"/>
  <c r="J42" i="137"/>
  <c r="I38" i="137"/>
  <c r="I37" i="137"/>
  <c r="I36" i="137"/>
  <c r="I35" i="137"/>
  <c r="I34" i="137"/>
  <c r="I33" i="137"/>
  <c r="I32" i="137"/>
  <c r="I31" i="137"/>
  <c r="I30" i="137"/>
  <c r="I29" i="137"/>
  <c r="I28" i="137"/>
  <c r="I27" i="137"/>
  <c r="I26" i="137"/>
  <c r="I25" i="137"/>
  <c r="I24" i="137"/>
  <c r="I23" i="137"/>
  <c r="I22" i="137"/>
  <c r="N18" i="137"/>
  <c r="N19" i="137"/>
  <c r="J115" i="3"/>
  <c r="I15" i="136"/>
  <c r="I16" i="136"/>
  <c r="N1" i="136" s="1"/>
  <c r="K114" i="3"/>
  <c r="J10" i="136"/>
  <c r="N10" i="136" s="1"/>
  <c r="N11" i="136" s="1"/>
  <c r="J114" i="3" s="1"/>
  <c r="I16" i="135"/>
  <c r="I15" i="135"/>
  <c r="I14" i="135"/>
  <c r="J10" i="135"/>
  <c r="N10" i="135" s="1"/>
  <c r="N11" i="135" s="1"/>
  <c r="I15" i="133"/>
  <c r="I14" i="133"/>
  <c r="J10" i="133"/>
  <c r="N10" i="133"/>
  <c r="N11" i="133" s="1"/>
  <c r="N1" i="133" s="1"/>
  <c r="J112" i="3"/>
  <c r="H112" i="3" s="1"/>
  <c r="I41" i="132"/>
  <c r="I42" i="132"/>
  <c r="M111" i="3" s="1"/>
  <c r="J37" i="132"/>
  <c r="J36" i="132"/>
  <c r="J35" i="132"/>
  <c r="J38" i="132" s="1"/>
  <c r="I31" i="132"/>
  <c r="I30" i="132"/>
  <c r="I29" i="132"/>
  <c r="I28" i="132"/>
  <c r="I27" i="132"/>
  <c r="I26" i="132"/>
  <c r="I25" i="132"/>
  <c r="I24" i="132"/>
  <c r="I23" i="132"/>
  <c r="I22" i="132"/>
  <c r="F21" i="132"/>
  <c r="I21" i="132"/>
  <c r="I32" i="132" s="1"/>
  <c r="K111" i="3" s="1"/>
  <c r="H111" i="3" s="1"/>
  <c r="N111" i="3" s="1"/>
  <c r="I20" i="132"/>
  <c r="N16" i="132"/>
  <c r="N15" i="132"/>
  <c r="I17" i="131"/>
  <c r="I16" i="131"/>
  <c r="I14" i="131"/>
  <c r="J10" i="131"/>
  <c r="F15" i="131"/>
  <c r="I15" i="131" s="1"/>
  <c r="I18" i="131" s="1"/>
  <c r="K110" i="3" s="1"/>
  <c r="I17" i="130"/>
  <c r="I16" i="130"/>
  <c r="I14" i="130"/>
  <c r="J10" i="130"/>
  <c r="N10" i="130"/>
  <c r="N11" i="130" s="1"/>
  <c r="J109" i="3" s="1"/>
  <c r="I19" i="129"/>
  <c r="I18" i="129"/>
  <c r="I17" i="129"/>
  <c r="I16" i="129"/>
  <c r="I14" i="129"/>
  <c r="J10" i="129"/>
  <c r="F15" i="129" s="1"/>
  <c r="I15" i="129"/>
  <c r="I17" i="128"/>
  <c r="I16" i="128"/>
  <c r="I18" i="128" s="1"/>
  <c r="I14" i="128"/>
  <c r="J10" i="128"/>
  <c r="N10" i="128"/>
  <c r="N11" i="128" s="1"/>
  <c r="J107" i="3" s="1"/>
  <c r="J41" i="127"/>
  <c r="J40" i="127"/>
  <c r="J39" i="127"/>
  <c r="J38" i="127"/>
  <c r="J37" i="127"/>
  <c r="I33" i="127"/>
  <c r="I32" i="127"/>
  <c r="I31" i="127"/>
  <c r="I30" i="127"/>
  <c r="I29" i="127"/>
  <c r="I28" i="127"/>
  <c r="I27" i="127"/>
  <c r="I26" i="127"/>
  <c r="I34" i="127" s="1"/>
  <c r="K106" i="3" s="1"/>
  <c r="I25" i="127"/>
  <c r="I24" i="127"/>
  <c r="I23" i="127"/>
  <c r="I22" i="127"/>
  <c r="I21" i="127"/>
  <c r="N17" i="127"/>
  <c r="N16" i="127"/>
  <c r="I15" i="125"/>
  <c r="I14" i="125"/>
  <c r="J10" i="125"/>
  <c r="N10" i="125" s="1"/>
  <c r="N11" i="125" s="1"/>
  <c r="I15" i="123"/>
  <c r="I14" i="123"/>
  <c r="J10" i="123"/>
  <c r="N10" i="123" s="1"/>
  <c r="N11" i="123" s="1"/>
  <c r="J104" i="3" s="1"/>
  <c r="I15" i="121"/>
  <c r="I14" i="121"/>
  <c r="I18" i="121" s="1"/>
  <c r="J10" i="121"/>
  <c r="N10" i="121"/>
  <c r="N11" i="121"/>
  <c r="J103" i="3" s="1"/>
  <c r="N10" i="120"/>
  <c r="N11" i="120" s="1"/>
  <c r="J102" i="3" s="1"/>
  <c r="H102" i="3" s="1"/>
  <c r="N102" i="3" s="1"/>
  <c r="J37" i="119"/>
  <c r="J36" i="119"/>
  <c r="J35" i="119"/>
  <c r="J34" i="119"/>
  <c r="I30" i="119"/>
  <c r="I29" i="119"/>
  <c r="I28" i="119"/>
  <c r="I27" i="119"/>
  <c r="I25" i="119"/>
  <c r="I24" i="119"/>
  <c r="I23" i="119"/>
  <c r="I21" i="119"/>
  <c r="I20" i="119"/>
  <c r="I19" i="119"/>
  <c r="I17" i="119"/>
  <c r="N13" i="119"/>
  <c r="J12" i="119"/>
  <c r="N12" i="119" s="1"/>
  <c r="K11" i="119"/>
  <c r="J11" i="119"/>
  <c r="K10" i="119"/>
  <c r="J10" i="119"/>
  <c r="I45" i="118"/>
  <c r="I46" i="118" s="1"/>
  <c r="M100" i="3" s="1"/>
  <c r="J41" i="118"/>
  <c r="J40" i="118"/>
  <c r="J39" i="118"/>
  <c r="J38" i="118"/>
  <c r="J37" i="118"/>
  <c r="J36" i="118"/>
  <c r="J42" i="118" s="1"/>
  <c r="L100" i="3" s="1"/>
  <c r="I32" i="118"/>
  <c r="I31" i="118"/>
  <c r="I30" i="118"/>
  <c r="I29" i="118"/>
  <c r="I28" i="118"/>
  <c r="I27" i="118"/>
  <c r="I26" i="118"/>
  <c r="I25" i="118"/>
  <c r="I33" i="118" s="1"/>
  <c r="K100" i="3" s="1"/>
  <c r="F24" i="118"/>
  <c r="I24" i="118"/>
  <c r="I23" i="118"/>
  <c r="N19" i="118"/>
  <c r="N18" i="118"/>
  <c r="N17" i="118"/>
  <c r="N1" i="248"/>
  <c r="J213" i="3"/>
  <c r="K251" i="3"/>
  <c r="N1" i="287"/>
  <c r="N4" i="287" s="1"/>
  <c r="C10" i="285" s="1"/>
  <c r="E10" i="285" s="1"/>
  <c r="K245" i="3"/>
  <c r="H245" i="3" s="1"/>
  <c r="N245" i="3" s="1"/>
  <c r="N1" i="319"/>
  <c r="K271" i="3"/>
  <c r="N1" i="317"/>
  <c r="N4" i="317"/>
  <c r="K269" i="3"/>
  <c r="K301" i="3"/>
  <c r="K218" i="3"/>
  <c r="J210" i="3"/>
  <c r="K239" i="3"/>
  <c r="N1" i="303"/>
  <c r="N4" i="303" s="1"/>
  <c r="C9" i="302"/>
  <c r="E9" i="302" s="1"/>
  <c r="K258" i="3"/>
  <c r="H258" i="3" s="1"/>
  <c r="N1" i="120"/>
  <c r="K190" i="3"/>
  <c r="H114" i="3"/>
  <c r="N114" i="3" s="1"/>
  <c r="K139" i="3"/>
  <c r="N1" i="286"/>
  <c r="K241" i="3"/>
  <c r="H241" i="3" s="1"/>
  <c r="N241" i="3" s="1"/>
  <c r="K274" i="3"/>
  <c r="N1" i="313"/>
  <c r="C16" i="302"/>
  <c r="E16" i="302" s="1"/>
  <c r="K264" i="3"/>
  <c r="K283" i="3"/>
  <c r="N1" i="369"/>
  <c r="K312" i="3"/>
  <c r="N1" i="310"/>
  <c r="N4" i="310" s="1"/>
  <c r="K267" i="3"/>
  <c r="H267" i="3" s="1"/>
  <c r="N267" i="3" s="1"/>
  <c r="N1" i="306"/>
  <c r="K260" i="3"/>
  <c r="H260" i="3" s="1"/>
  <c r="N260" i="3" s="1"/>
  <c r="N1" i="314"/>
  <c r="C17" i="302" s="1"/>
  <c r="E17" i="302" s="1"/>
  <c r="N4" i="314"/>
  <c r="K265" i="3"/>
  <c r="K279" i="3"/>
  <c r="K243" i="3"/>
  <c r="N1" i="324"/>
  <c r="C11" i="320" s="1"/>
  <c r="E11" i="320" s="1"/>
  <c r="K275" i="3"/>
  <c r="K281" i="3"/>
  <c r="N1" i="355"/>
  <c r="N4" i="355" s="1"/>
  <c r="C9" i="354"/>
  <c r="E9" i="354" s="1"/>
  <c r="C9" i="316"/>
  <c r="E9" i="316" s="1"/>
  <c r="N10" i="131"/>
  <c r="N11" i="131" s="1"/>
  <c r="J110" i="3" s="1"/>
  <c r="N10" i="138"/>
  <c r="N11" i="138"/>
  <c r="N17" i="132"/>
  <c r="J111" i="3"/>
  <c r="I18" i="145"/>
  <c r="K121" i="3" s="1"/>
  <c r="N20" i="118"/>
  <c r="J100" i="3"/>
  <c r="I16" i="123"/>
  <c r="K104" i="3" s="1"/>
  <c r="F15" i="128"/>
  <c r="I15" i="128"/>
  <c r="L111" i="3"/>
  <c r="I17" i="135"/>
  <c r="N18" i="127"/>
  <c r="J106" i="3" s="1"/>
  <c r="C11" i="132"/>
  <c r="E11" i="132" s="1"/>
  <c r="N11" i="119"/>
  <c r="I16" i="133"/>
  <c r="N10" i="129"/>
  <c r="N11" i="129" s="1"/>
  <c r="J108" i="3" s="1"/>
  <c r="J38" i="119"/>
  <c r="L101" i="3"/>
  <c r="F15" i="130"/>
  <c r="I15" i="130" s="1"/>
  <c r="I18" i="130" s="1"/>
  <c r="I39" i="137"/>
  <c r="K115" i="3" s="1"/>
  <c r="F15" i="139"/>
  <c r="I15" i="139"/>
  <c r="I16" i="139" s="1"/>
  <c r="K117" i="3" s="1"/>
  <c r="N4" i="323"/>
  <c r="N4" i="313"/>
  <c r="C14" i="302"/>
  <c r="E14" i="302" s="1"/>
  <c r="K112" i="3"/>
  <c r="N1" i="145"/>
  <c r="N4" i="145"/>
  <c r="N4" i="253"/>
  <c r="K113" i="3"/>
  <c r="N1" i="143"/>
  <c r="N4" i="143" s="1"/>
  <c r="C13" i="137"/>
  <c r="E13" i="137" s="1"/>
  <c r="N4" i="136"/>
  <c r="C14" i="137"/>
  <c r="E14" i="137" s="1"/>
  <c r="I15" i="112"/>
  <c r="I16" i="112"/>
  <c r="I17" i="112"/>
  <c r="I16" i="117"/>
  <c r="I15" i="117"/>
  <c r="I14" i="117"/>
  <c r="J10" i="117"/>
  <c r="N10" i="117"/>
  <c r="N11" i="117"/>
  <c r="J99" i="3" s="1"/>
  <c r="H99" i="3" s="1"/>
  <c r="N99" i="3" s="1"/>
  <c r="I16" i="116"/>
  <c r="I15" i="116"/>
  <c r="J11" i="116"/>
  <c r="E11" i="116"/>
  <c r="N11" i="116"/>
  <c r="J10" i="116"/>
  <c r="N10" i="116" s="1"/>
  <c r="N12" i="116" s="1"/>
  <c r="E10" i="116"/>
  <c r="I16" i="115"/>
  <c r="I17" i="115" s="1"/>
  <c r="K97" i="3" s="1"/>
  <c r="I15" i="115"/>
  <c r="J11" i="115"/>
  <c r="E11" i="115"/>
  <c r="N11" i="115" s="1"/>
  <c r="J10" i="115"/>
  <c r="N10" i="115" s="1"/>
  <c r="N12" i="115" s="1"/>
  <c r="E10" i="115"/>
  <c r="I16" i="114"/>
  <c r="I15" i="114"/>
  <c r="I17" i="114" s="1"/>
  <c r="K96" i="3" s="1"/>
  <c r="J11" i="114"/>
  <c r="E11" i="114"/>
  <c r="N11" i="114"/>
  <c r="J10" i="114"/>
  <c r="E10" i="114"/>
  <c r="I30" i="113"/>
  <c r="I31" i="113"/>
  <c r="M95" i="3"/>
  <c r="I25" i="113"/>
  <c r="F24" i="113"/>
  <c r="I24" i="113"/>
  <c r="I23" i="113"/>
  <c r="I22" i="113"/>
  <c r="F21" i="113"/>
  <c r="I21" i="113"/>
  <c r="I20" i="113"/>
  <c r="I26" i="113" s="1"/>
  <c r="K95" i="3" s="1"/>
  <c r="I19" i="113"/>
  <c r="F18" i="113"/>
  <c r="I18" i="113"/>
  <c r="I17" i="113"/>
  <c r="J13" i="113"/>
  <c r="J12" i="113"/>
  <c r="E12" i="113"/>
  <c r="J11" i="113"/>
  <c r="K10" i="113"/>
  <c r="J10" i="113"/>
  <c r="N10" i="113" s="1"/>
  <c r="J25" i="112"/>
  <c r="J24" i="112"/>
  <c r="J23" i="112"/>
  <c r="I19" i="112"/>
  <c r="I18" i="112"/>
  <c r="N11" i="112"/>
  <c r="E11" i="112"/>
  <c r="N10" i="112"/>
  <c r="I27" i="111"/>
  <c r="I28" i="111" s="1"/>
  <c r="M93" i="3"/>
  <c r="I21" i="111"/>
  <c r="F20" i="111"/>
  <c r="I20" i="111" s="1"/>
  <c r="F19" i="111"/>
  <c r="I19" i="111"/>
  <c r="I18" i="111"/>
  <c r="F17" i="111"/>
  <c r="I17" i="111" s="1"/>
  <c r="I16" i="111"/>
  <c r="J12" i="111"/>
  <c r="E12" i="111" s="1"/>
  <c r="N12" i="111" s="1"/>
  <c r="J11" i="111"/>
  <c r="E11" i="111"/>
  <c r="N11" i="111"/>
  <c r="N10" i="111"/>
  <c r="N13" i="111" s="1"/>
  <c r="J93" i="3" s="1"/>
  <c r="E10" i="111"/>
  <c r="J23" i="110"/>
  <c r="J24" i="110" s="1"/>
  <c r="L92" i="3" s="1"/>
  <c r="I18" i="110"/>
  <c r="I17" i="110"/>
  <c r="I16" i="110"/>
  <c r="N12" i="110"/>
  <c r="D11" i="110"/>
  <c r="N11" i="110"/>
  <c r="N13" i="110" s="1"/>
  <c r="J92" i="3" s="1"/>
  <c r="D10" i="110"/>
  <c r="N10" i="110"/>
  <c r="I51" i="109"/>
  <c r="I52" i="109"/>
  <c r="M91" i="3"/>
  <c r="J47" i="109"/>
  <c r="J46" i="109"/>
  <c r="J45" i="109"/>
  <c r="J48" i="109" s="1"/>
  <c r="L91" i="3" s="1"/>
  <c r="J44" i="109"/>
  <c r="J43" i="109"/>
  <c r="J42" i="109"/>
  <c r="I38" i="109"/>
  <c r="I37" i="109"/>
  <c r="I36" i="109"/>
  <c r="I35" i="109"/>
  <c r="I34" i="109"/>
  <c r="I33" i="109"/>
  <c r="I32" i="109"/>
  <c r="I31" i="109"/>
  <c r="I30" i="109"/>
  <c r="I29" i="109"/>
  <c r="I28" i="109"/>
  <c r="I27" i="109"/>
  <c r="I26" i="109"/>
  <c r="I39" i="109" s="1"/>
  <c r="K91" i="3" s="1"/>
  <c r="I25" i="109"/>
  <c r="N21" i="109"/>
  <c r="N20" i="109"/>
  <c r="I18" i="107"/>
  <c r="I19" i="107"/>
  <c r="I20" i="107"/>
  <c r="I21" i="107"/>
  <c r="I22" i="107"/>
  <c r="I23" i="107"/>
  <c r="I17" i="107"/>
  <c r="I17" i="106"/>
  <c r="I14" i="108"/>
  <c r="I15" i="108"/>
  <c r="K90" i="3"/>
  <c r="N10" i="108"/>
  <c r="N11" i="108"/>
  <c r="J90" i="3" s="1"/>
  <c r="H90" i="3" s="1"/>
  <c r="N90" i="3" s="1"/>
  <c r="I27" i="107"/>
  <c r="I28" i="107"/>
  <c r="M89" i="3"/>
  <c r="J13" i="107"/>
  <c r="E13" i="107"/>
  <c r="J12" i="107"/>
  <c r="E12" i="107"/>
  <c r="J11" i="107"/>
  <c r="N11" i="107"/>
  <c r="J10" i="107"/>
  <c r="E10" i="107"/>
  <c r="I27" i="106"/>
  <c r="I28" i="106"/>
  <c r="M88" i="3"/>
  <c r="J23" i="106"/>
  <c r="J24" i="106" s="1"/>
  <c r="L88" i="3" s="1"/>
  <c r="I19" i="106"/>
  <c r="I20" i="106" s="1"/>
  <c r="K88" i="3" s="1"/>
  <c r="H88" i="3" s="1"/>
  <c r="N88" i="3" s="1"/>
  <c r="I18" i="106"/>
  <c r="I16" i="106"/>
  <c r="I15" i="106"/>
  <c r="I15" i="105"/>
  <c r="I17" i="105" s="1"/>
  <c r="K87" i="3" s="1"/>
  <c r="I16" i="105"/>
  <c r="I14" i="105"/>
  <c r="I14" i="104"/>
  <c r="I15" i="104"/>
  <c r="K86" i="3" s="1"/>
  <c r="I15" i="103"/>
  <c r="I16" i="103"/>
  <c r="I14" i="103"/>
  <c r="I15" i="102"/>
  <c r="I17" i="102" s="1"/>
  <c r="K84" i="3" s="1"/>
  <c r="I16" i="102"/>
  <c r="I14" i="102"/>
  <c r="I15" i="101"/>
  <c r="I16" i="101" s="1"/>
  <c r="I14" i="101"/>
  <c r="I15" i="100"/>
  <c r="I14" i="100"/>
  <c r="I15" i="99"/>
  <c r="I16" i="99"/>
  <c r="I17" i="99"/>
  <c r="I14" i="99"/>
  <c r="I15" i="98"/>
  <c r="I16" i="98" s="1"/>
  <c r="K80" i="3" s="1"/>
  <c r="H80" i="3" s="1"/>
  <c r="N80" i="3" s="1"/>
  <c r="I14" i="98"/>
  <c r="I15" i="93"/>
  <c r="I16" i="93"/>
  <c r="I14" i="93"/>
  <c r="I15" i="94"/>
  <c r="I16" i="94"/>
  <c r="I17" i="94"/>
  <c r="I14" i="94"/>
  <c r="I18" i="94" s="1"/>
  <c r="K76" i="3" s="1"/>
  <c r="I15" i="95"/>
  <c r="I16" i="95"/>
  <c r="I17" i="95"/>
  <c r="I14" i="95"/>
  <c r="I15" i="96"/>
  <c r="I16" i="96"/>
  <c r="I17" i="96"/>
  <c r="I14" i="96"/>
  <c r="I15" i="97"/>
  <c r="I16" i="97"/>
  <c r="I17" i="97"/>
  <c r="I14" i="97"/>
  <c r="J10" i="105"/>
  <c r="N10" i="105" s="1"/>
  <c r="N11" i="105" s="1"/>
  <c r="J87" i="3"/>
  <c r="J10" i="104"/>
  <c r="N10" i="104"/>
  <c r="N11" i="104" s="1"/>
  <c r="J86" i="3" s="1"/>
  <c r="J10" i="103"/>
  <c r="N10" i="103" s="1"/>
  <c r="N11" i="103" s="1"/>
  <c r="J85" i="3" s="1"/>
  <c r="H85" i="3" s="1"/>
  <c r="N85" i="3" s="1"/>
  <c r="J10" i="102"/>
  <c r="N10" i="102" s="1"/>
  <c r="N11" i="102" s="1"/>
  <c r="J84" i="3" s="1"/>
  <c r="J10" i="101"/>
  <c r="N10" i="101" s="1"/>
  <c r="N11" i="101" s="1"/>
  <c r="J83" i="3" s="1"/>
  <c r="J10" i="100"/>
  <c r="N10" i="100"/>
  <c r="N11" i="100"/>
  <c r="J82" i="3" s="1"/>
  <c r="I21" i="99"/>
  <c r="I22" i="99" s="1"/>
  <c r="M81" i="3" s="1"/>
  <c r="J10" i="99"/>
  <c r="N10" i="99" s="1"/>
  <c r="N11" i="99" s="1"/>
  <c r="J81" i="3"/>
  <c r="J10" i="98"/>
  <c r="N10" i="98"/>
  <c r="N11" i="98" s="1"/>
  <c r="J80" i="3" s="1"/>
  <c r="J10" i="97"/>
  <c r="N10" i="97"/>
  <c r="N11" i="97" s="1"/>
  <c r="J10" i="96"/>
  <c r="N10" i="96"/>
  <c r="N11" i="96" s="1"/>
  <c r="J78" i="3" s="1"/>
  <c r="J10" i="95"/>
  <c r="N10" i="95"/>
  <c r="N11" i="95"/>
  <c r="J77" i="3"/>
  <c r="J10" i="94"/>
  <c r="N10" i="94" s="1"/>
  <c r="N11" i="94" s="1"/>
  <c r="J10" i="93"/>
  <c r="N10" i="93"/>
  <c r="N11" i="93"/>
  <c r="J75" i="3"/>
  <c r="I81" i="92"/>
  <c r="I82" i="92"/>
  <c r="M74" i="3" s="1"/>
  <c r="J77" i="92"/>
  <c r="J76" i="92"/>
  <c r="J75" i="92"/>
  <c r="J74" i="92"/>
  <c r="J73" i="92"/>
  <c r="J72" i="92"/>
  <c r="J71" i="92"/>
  <c r="J78" i="92" s="1"/>
  <c r="L74" i="3" s="1"/>
  <c r="J70" i="92"/>
  <c r="J69" i="92"/>
  <c r="J68" i="92"/>
  <c r="J67" i="92"/>
  <c r="I63" i="92"/>
  <c r="I62" i="92"/>
  <c r="I61" i="92"/>
  <c r="I60" i="92"/>
  <c r="I59" i="92"/>
  <c r="I58" i="92"/>
  <c r="I57" i="92"/>
  <c r="I56" i="92"/>
  <c r="I55" i="92"/>
  <c r="I54" i="92"/>
  <c r="I53" i="92"/>
  <c r="I52" i="92"/>
  <c r="I51" i="92"/>
  <c r="I50" i="92"/>
  <c r="I49" i="92"/>
  <c r="I48" i="92"/>
  <c r="I47" i="92"/>
  <c r="I46" i="92"/>
  <c r="I45" i="92"/>
  <c r="I44" i="92"/>
  <c r="I43" i="92"/>
  <c r="I42" i="92"/>
  <c r="I41" i="92"/>
  <c r="I40" i="92"/>
  <c r="I39" i="92"/>
  <c r="I38" i="92"/>
  <c r="I37" i="92"/>
  <c r="I36" i="92"/>
  <c r="I35" i="92"/>
  <c r="N31" i="92"/>
  <c r="N30" i="92"/>
  <c r="N29" i="92"/>
  <c r="N28" i="92"/>
  <c r="N27" i="92"/>
  <c r="N26" i="92"/>
  <c r="N25" i="92"/>
  <c r="N32" i="92" s="1"/>
  <c r="J74" i="3" s="1"/>
  <c r="I73" i="3"/>
  <c r="I15" i="90"/>
  <c r="I14" i="90"/>
  <c r="J10" i="90"/>
  <c r="N10" i="90"/>
  <c r="N11" i="90"/>
  <c r="H205" i="89"/>
  <c r="G205" i="89"/>
  <c r="F205" i="89"/>
  <c r="E205" i="89"/>
  <c r="D205" i="89"/>
  <c r="C205" i="89"/>
  <c r="B205" i="89"/>
  <c r="A205" i="89"/>
  <c r="H204" i="89"/>
  <c r="G204" i="89"/>
  <c r="F204" i="89"/>
  <c r="E204" i="89"/>
  <c r="D204" i="89"/>
  <c r="C204" i="89"/>
  <c r="B204" i="89"/>
  <c r="A204" i="89"/>
  <c r="H203" i="89"/>
  <c r="G203" i="89"/>
  <c r="F203" i="89"/>
  <c r="E203" i="89"/>
  <c r="D203" i="89"/>
  <c r="C203" i="89"/>
  <c r="B203" i="89"/>
  <c r="A203" i="89"/>
  <c r="H202" i="89"/>
  <c r="G202" i="89"/>
  <c r="F202" i="89"/>
  <c r="E202" i="89"/>
  <c r="D202" i="89"/>
  <c r="C202" i="89"/>
  <c r="B202" i="89"/>
  <c r="A202" i="89"/>
  <c r="H201" i="89"/>
  <c r="G201" i="89"/>
  <c r="F201" i="89"/>
  <c r="E201" i="89"/>
  <c r="D201" i="89"/>
  <c r="C201" i="89"/>
  <c r="B201" i="89"/>
  <c r="A201" i="89"/>
  <c r="H200" i="89"/>
  <c r="G200" i="89"/>
  <c r="F200" i="89"/>
  <c r="E200" i="89"/>
  <c r="D200" i="89"/>
  <c r="C200" i="89"/>
  <c r="B200" i="89"/>
  <c r="A200" i="89"/>
  <c r="H199" i="89"/>
  <c r="G199" i="89"/>
  <c r="F199" i="89"/>
  <c r="E199" i="89"/>
  <c r="D199" i="89"/>
  <c r="C199" i="89"/>
  <c r="B199" i="89"/>
  <c r="A199" i="89"/>
  <c r="H198" i="89"/>
  <c r="G198" i="89"/>
  <c r="F198" i="89"/>
  <c r="E198" i="89"/>
  <c r="D198" i="89"/>
  <c r="C198" i="89"/>
  <c r="B198" i="89"/>
  <c r="A198" i="89"/>
  <c r="H197" i="89"/>
  <c r="G197" i="89"/>
  <c r="F197" i="89"/>
  <c r="E197" i="89"/>
  <c r="D197" i="89"/>
  <c r="C197" i="89"/>
  <c r="B197" i="89"/>
  <c r="A197" i="89"/>
  <c r="H196" i="89"/>
  <c r="G196" i="89"/>
  <c r="F196" i="89"/>
  <c r="E196" i="89"/>
  <c r="D196" i="89"/>
  <c r="C196" i="89"/>
  <c r="B196" i="89"/>
  <c r="A196" i="89"/>
  <c r="H195" i="89"/>
  <c r="G195" i="89"/>
  <c r="F195" i="89"/>
  <c r="E195" i="89"/>
  <c r="D195" i="89"/>
  <c r="C195" i="89"/>
  <c r="B195" i="89"/>
  <c r="A195" i="89"/>
  <c r="H194" i="89"/>
  <c r="G194" i="89"/>
  <c r="F194" i="89"/>
  <c r="E194" i="89"/>
  <c r="D194" i="89"/>
  <c r="C194" i="89"/>
  <c r="B194" i="89"/>
  <c r="A194" i="89"/>
  <c r="H193" i="89"/>
  <c r="G193" i="89"/>
  <c r="F193" i="89"/>
  <c r="E193" i="89"/>
  <c r="D193" i="89"/>
  <c r="C193" i="89"/>
  <c r="B193" i="89"/>
  <c r="A193" i="89"/>
  <c r="H192" i="89"/>
  <c r="G192" i="89"/>
  <c r="F192" i="89"/>
  <c r="E192" i="89"/>
  <c r="D192" i="89"/>
  <c r="C192" i="89"/>
  <c r="B192" i="89"/>
  <c r="A192" i="89"/>
  <c r="H191" i="89"/>
  <c r="G191" i="89"/>
  <c r="F191" i="89"/>
  <c r="E191" i="89"/>
  <c r="D191" i="89"/>
  <c r="C191" i="89"/>
  <c r="B191" i="89"/>
  <c r="A191" i="89"/>
  <c r="H190" i="89"/>
  <c r="G190" i="89"/>
  <c r="F190" i="89"/>
  <c r="E190" i="89"/>
  <c r="D190" i="89"/>
  <c r="C190" i="89"/>
  <c r="B190" i="89"/>
  <c r="A190" i="89"/>
  <c r="H189" i="89"/>
  <c r="G189" i="89"/>
  <c r="F189" i="89"/>
  <c r="E189" i="89"/>
  <c r="D189" i="89"/>
  <c r="C189" i="89"/>
  <c r="B189" i="89"/>
  <c r="A189" i="89"/>
  <c r="H188" i="89"/>
  <c r="G188" i="89"/>
  <c r="F188" i="89"/>
  <c r="E188" i="89"/>
  <c r="D188" i="89"/>
  <c r="C188" i="89"/>
  <c r="B188" i="89"/>
  <c r="A188" i="89"/>
  <c r="H187" i="89"/>
  <c r="G187" i="89"/>
  <c r="F187" i="89"/>
  <c r="E187" i="89"/>
  <c r="D187" i="89"/>
  <c r="C187" i="89"/>
  <c r="B187" i="89"/>
  <c r="A187" i="89"/>
  <c r="H186" i="89"/>
  <c r="G186" i="89"/>
  <c r="F186" i="89"/>
  <c r="E186" i="89"/>
  <c r="D186" i="89"/>
  <c r="C186" i="89"/>
  <c r="B186" i="89"/>
  <c r="A186" i="89"/>
  <c r="H185" i="89"/>
  <c r="G185" i="89"/>
  <c r="F185" i="89"/>
  <c r="E185" i="89"/>
  <c r="D185" i="89"/>
  <c r="C185" i="89"/>
  <c r="B185" i="89"/>
  <c r="A185" i="89"/>
  <c r="H184" i="89"/>
  <c r="G184" i="89"/>
  <c r="F184" i="89"/>
  <c r="E184" i="89"/>
  <c r="D184" i="89"/>
  <c r="C184" i="89"/>
  <c r="B184" i="89"/>
  <c r="A184" i="89"/>
  <c r="H183" i="89"/>
  <c r="G183" i="89"/>
  <c r="F183" i="89"/>
  <c r="E183" i="89"/>
  <c r="D183" i="89"/>
  <c r="C183" i="89"/>
  <c r="B183" i="89"/>
  <c r="A183" i="89"/>
  <c r="H182" i="89"/>
  <c r="G182" i="89"/>
  <c r="F182" i="89"/>
  <c r="E182" i="89"/>
  <c r="D182" i="89"/>
  <c r="C182" i="89"/>
  <c r="B182" i="89"/>
  <c r="A182" i="89"/>
  <c r="H181" i="89"/>
  <c r="G181" i="89"/>
  <c r="F181" i="89"/>
  <c r="E181" i="89"/>
  <c r="D181" i="89"/>
  <c r="C181" i="89"/>
  <c r="B181" i="89"/>
  <c r="A181" i="89"/>
  <c r="H180" i="89"/>
  <c r="G180" i="89"/>
  <c r="F180" i="89"/>
  <c r="E180" i="89"/>
  <c r="D180" i="89"/>
  <c r="C180" i="89"/>
  <c r="B180" i="89"/>
  <c r="A180" i="89"/>
  <c r="H179" i="89"/>
  <c r="G179" i="89"/>
  <c r="F179" i="89"/>
  <c r="E179" i="89"/>
  <c r="D179" i="89"/>
  <c r="C179" i="89"/>
  <c r="B179" i="89"/>
  <c r="A179" i="89"/>
  <c r="H178" i="89"/>
  <c r="G178" i="89"/>
  <c r="F178" i="89"/>
  <c r="E178" i="89"/>
  <c r="D178" i="89"/>
  <c r="C178" i="89"/>
  <c r="B178" i="89"/>
  <c r="A178" i="89"/>
  <c r="H177" i="89"/>
  <c r="G177" i="89"/>
  <c r="F177" i="89"/>
  <c r="E177" i="89"/>
  <c r="D177" i="89"/>
  <c r="C177" i="89"/>
  <c r="B177" i="89"/>
  <c r="A177" i="89"/>
  <c r="H176" i="89"/>
  <c r="G176" i="89"/>
  <c r="F176" i="89"/>
  <c r="E176" i="89"/>
  <c r="D176" i="89"/>
  <c r="C176" i="89"/>
  <c r="B176" i="89"/>
  <c r="A176" i="89"/>
  <c r="H175" i="89"/>
  <c r="G175" i="89"/>
  <c r="F175" i="89"/>
  <c r="E175" i="89"/>
  <c r="D175" i="89"/>
  <c r="C175" i="89"/>
  <c r="B175" i="89"/>
  <c r="A175" i="89"/>
  <c r="H174" i="89"/>
  <c r="G174" i="89"/>
  <c r="F174" i="89"/>
  <c r="E174" i="89"/>
  <c r="D174" i="89"/>
  <c r="C174" i="89"/>
  <c r="B174" i="89"/>
  <c r="A174" i="89"/>
  <c r="H173" i="89"/>
  <c r="G173" i="89"/>
  <c r="F173" i="89"/>
  <c r="E173" i="89"/>
  <c r="D173" i="89"/>
  <c r="C173" i="89"/>
  <c r="B173" i="89"/>
  <c r="A173" i="89"/>
  <c r="H172" i="89"/>
  <c r="G172" i="89"/>
  <c r="F172" i="89"/>
  <c r="E172" i="89"/>
  <c r="D172" i="89"/>
  <c r="C172" i="89"/>
  <c r="B172" i="89"/>
  <c r="A172" i="89"/>
  <c r="H171" i="89"/>
  <c r="G171" i="89"/>
  <c r="F171" i="89"/>
  <c r="E171" i="89"/>
  <c r="D171" i="89"/>
  <c r="C171" i="89"/>
  <c r="B171" i="89"/>
  <c r="A171" i="89"/>
  <c r="H170" i="89"/>
  <c r="G170" i="89"/>
  <c r="F170" i="89"/>
  <c r="E170" i="89"/>
  <c r="D170" i="89"/>
  <c r="C170" i="89"/>
  <c r="B170" i="89"/>
  <c r="A170" i="89"/>
  <c r="H169" i="89"/>
  <c r="G169" i="89"/>
  <c r="F169" i="89"/>
  <c r="E169" i="89"/>
  <c r="D169" i="89"/>
  <c r="C169" i="89"/>
  <c r="B169" i="89"/>
  <c r="A169" i="89"/>
  <c r="H168" i="89"/>
  <c r="G168" i="89"/>
  <c r="F168" i="89"/>
  <c r="E168" i="89"/>
  <c r="D168" i="89"/>
  <c r="C168" i="89"/>
  <c r="B168" i="89"/>
  <c r="A168" i="89"/>
  <c r="H167" i="89"/>
  <c r="G167" i="89"/>
  <c r="F167" i="89"/>
  <c r="E167" i="89"/>
  <c r="D167" i="89"/>
  <c r="C167" i="89"/>
  <c r="B167" i="89"/>
  <c r="A167" i="89"/>
  <c r="H166" i="89"/>
  <c r="G166" i="89"/>
  <c r="F166" i="89"/>
  <c r="E166" i="89"/>
  <c r="D166" i="89"/>
  <c r="C166" i="89"/>
  <c r="B166" i="89"/>
  <c r="A166" i="89"/>
  <c r="H165" i="89"/>
  <c r="G165" i="89"/>
  <c r="F165" i="89"/>
  <c r="E165" i="89"/>
  <c r="D165" i="89"/>
  <c r="C165" i="89"/>
  <c r="B165" i="89"/>
  <c r="A165" i="89"/>
  <c r="H164" i="89"/>
  <c r="G164" i="89"/>
  <c r="F164" i="89"/>
  <c r="E164" i="89"/>
  <c r="D164" i="89"/>
  <c r="C164" i="89"/>
  <c r="B164" i="89"/>
  <c r="A164" i="89"/>
  <c r="H163" i="89"/>
  <c r="G163" i="89"/>
  <c r="F163" i="89"/>
  <c r="E163" i="89"/>
  <c r="D163" i="89"/>
  <c r="C163" i="89"/>
  <c r="B163" i="89"/>
  <c r="A163" i="89"/>
  <c r="H162" i="89"/>
  <c r="G162" i="89"/>
  <c r="F162" i="89"/>
  <c r="E162" i="89"/>
  <c r="D162" i="89"/>
  <c r="C162" i="89"/>
  <c r="B162" i="89"/>
  <c r="A162" i="89"/>
  <c r="H161" i="89"/>
  <c r="G161" i="89"/>
  <c r="F161" i="89"/>
  <c r="E161" i="89"/>
  <c r="D161" i="89"/>
  <c r="C161" i="89"/>
  <c r="B161" i="89"/>
  <c r="A161" i="89"/>
  <c r="H160" i="89"/>
  <c r="G160" i="89"/>
  <c r="F160" i="89"/>
  <c r="E160" i="89"/>
  <c r="D160" i="89"/>
  <c r="C160" i="89"/>
  <c r="B160" i="89"/>
  <c r="A160" i="89"/>
  <c r="H159" i="89"/>
  <c r="G159" i="89"/>
  <c r="F159" i="89"/>
  <c r="E159" i="89"/>
  <c r="D159" i="89"/>
  <c r="C159" i="89"/>
  <c r="B159" i="89"/>
  <c r="A159" i="89"/>
  <c r="H158" i="89"/>
  <c r="G158" i="89"/>
  <c r="F158" i="89"/>
  <c r="E158" i="89"/>
  <c r="D158" i="89"/>
  <c r="C158" i="89"/>
  <c r="B158" i="89"/>
  <c r="A158" i="89"/>
  <c r="H157" i="89"/>
  <c r="G157" i="89"/>
  <c r="F157" i="89"/>
  <c r="E157" i="89"/>
  <c r="D157" i="89"/>
  <c r="C157" i="89"/>
  <c r="B157" i="89"/>
  <c r="A157" i="89"/>
  <c r="H156" i="89"/>
  <c r="G156" i="89"/>
  <c r="F156" i="89"/>
  <c r="E156" i="89"/>
  <c r="D156" i="89"/>
  <c r="C156" i="89"/>
  <c r="B156" i="89"/>
  <c r="A156" i="89"/>
  <c r="H155" i="89"/>
  <c r="G155" i="89"/>
  <c r="F155" i="89"/>
  <c r="E155" i="89"/>
  <c r="D155" i="89"/>
  <c r="C155" i="89"/>
  <c r="B155" i="89"/>
  <c r="A155" i="89"/>
  <c r="H154" i="89"/>
  <c r="G154" i="89"/>
  <c r="F154" i="89"/>
  <c r="E154" i="89"/>
  <c r="D154" i="89"/>
  <c r="C154" i="89"/>
  <c r="B154" i="89"/>
  <c r="A154" i="89"/>
  <c r="H153" i="89"/>
  <c r="G153" i="89"/>
  <c r="F153" i="89"/>
  <c r="E153" i="89"/>
  <c r="D153" i="89"/>
  <c r="C153" i="89"/>
  <c r="B153" i="89"/>
  <c r="A153" i="89"/>
  <c r="H152" i="89"/>
  <c r="G152" i="89"/>
  <c r="F152" i="89"/>
  <c r="E152" i="89"/>
  <c r="D152" i="89"/>
  <c r="C152" i="89"/>
  <c r="B152" i="89"/>
  <c r="A152" i="89"/>
  <c r="H151" i="89"/>
  <c r="G151" i="89"/>
  <c r="F151" i="89"/>
  <c r="E151" i="89"/>
  <c r="D151" i="89"/>
  <c r="C151" i="89"/>
  <c r="B151" i="89"/>
  <c r="A151" i="89"/>
  <c r="H150" i="89"/>
  <c r="G150" i="89"/>
  <c r="F150" i="89"/>
  <c r="E150" i="89"/>
  <c r="D150" i="89"/>
  <c r="C150" i="89"/>
  <c r="B150" i="89"/>
  <c r="A150" i="89"/>
  <c r="H149" i="89"/>
  <c r="G149" i="89"/>
  <c r="F149" i="89"/>
  <c r="E149" i="89"/>
  <c r="D149" i="89"/>
  <c r="C149" i="89"/>
  <c r="B149" i="89"/>
  <c r="A149" i="89"/>
  <c r="H148" i="89"/>
  <c r="G148" i="89"/>
  <c r="F148" i="89"/>
  <c r="E148" i="89"/>
  <c r="D148" i="89"/>
  <c r="C148" i="89"/>
  <c r="B148" i="89"/>
  <c r="A148" i="89"/>
  <c r="H147" i="89"/>
  <c r="G147" i="89"/>
  <c r="F147" i="89"/>
  <c r="E147" i="89"/>
  <c r="D147" i="89"/>
  <c r="C147" i="89"/>
  <c r="B147" i="89"/>
  <c r="A147" i="89"/>
  <c r="H146" i="89"/>
  <c r="G146" i="89"/>
  <c r="F146" i="89"/>
  <c r="E146" i="89"/>
  <c r="D146" i="89"/>
  <c r="C146" i="89"/>
  <c r="B146" i="89"/>
  <c r="A146" i="89"/>
  <c r="H145" i="89"/>
  <c r="G145" i="89"/>
  <c r="F145" i="89"/>
  <c r="E145" i="89"/>
  <c r="D145" i="89"/>
  <c r="C145" i="89"/>
  <c r="B145" i="89"/>
  <c r="A145" i="89"/>
  <c r="H144" i="89"/>
  <c r="G144" i="89"/>
  <c r="F144" i="89"/>
  <c r="E144" i="89"/>
  <c r="D144" i="89"/>
  <c r="C144" i="89"/>
  <c r="B144" i="89"/>
  <c r="A144" i="89"/>
  <c r="H143" i="89"/>
  <c r="G143" i="89"/>
  <c r="F143" i="89"/>
  <c r="E143" i="89"/>
  <c r="D143" i="89"/>
  <c r="C143" i="89"/>
  <c r="B143" i="89"/>
  <c r="A143" i="89"/>
  <c r="H142" i="89"/>
  <c r="G142" i="89"/>
  <c r="F142" i="89"/>
  <c r="E142" i="89"/>
  <c r="D142" i="89"/>
  <c r="C142" i="89"/>
  <c r="B142" i="89"/>
  <c r="A142" i="89"/>
  <c r="H141" i="89"/>
  <c r="G141" i="89"/>
  <c r="F141" i="89"/>
  <c r="E141" i="89"/>
  <c r="D141" i="89"/>
  <c r="C141" i="89"/>
  <c r="B141" i="89"/>
  <c r="A141" i="89"/>
  <c r="H140" i="89"/>
  <c r="G140" i="89"/>
  <c r="F140" i="89"/>
  <c r="E140" i="89"/>
  <c r="D140" i="89"/>
  <c r="C140" i="89"/>
  <c r="B140" i="89"/>
  <c r="A140" i="89"/>
  <c r="H139" i="89"/>
  <c r="G139" i="89"/>
  <c r="F139" i="89"/>
  <c r="E139" i="89"/>
  <c r="D139" i="89"/>
  <c r="C139" i="89"/>
  <c r="B139" i="89"/>
  <c r="A139" i="89"/>
  <c r="H138" i="89"/>
  <c r="G138" i="89"/>
  <c r="F138" i="89"/>
  <c r="E138" i="89"/>
  <c r="D138" i="89"/>
  <c r="C138" i="89"/>
  <c r="B138" i="89"/>
  <c r="A138" i="89"/>
  <c r="H137" i="89"/>
  <c r="G137" i="89"/>
  <c r="F137" i="89"/>
  <c r="E137" i="89"/>
  <c r="D137" i="89"/>
  <c r="C137" i="89"/>
  <c r="B137" i="89"/>
  <c r="A137" i="89"/>
  <c r="H136" i="89"/>
  <c r="G136" i="89"/>
  <c r="F136" i="89"/>
  <c r="E136" i="89"/>
  <c r="D136" i="89"/>
  <c r="C136" i="89"/>
  <c r="B136" i="89"/>
  <c r="A136" i="89"/>
  <c r="H135" i="89"/>
  <c r="G135" i="89"/>
  <c r="F135" i="89"/>
  <c r="E135" i="89"/>
  <c r="D135" i="89"/>
  <c r="C135" i="89"/>
  <c r="B135" i="89"/>
  <c r="A135" i="89"/>
  <c r="H134" i="89"/>
  <c r="G134" i="89"/>
  <c r="F134" i="89"/>
  <c r="E134" i="89"/>
  <c r="D134" i="89"/>
  <c r="C134" i="89"/>
  <c r="B134" i="89"/>
  <c r="A134" i="89"/>
  <c r="H133" i="89"/>
  <c r="G133" i="89"/>
  <c r="F133" i="89"/>
  <c r="E133" i="89"/>
  <c r="D133" i="89"/>
  <c r="C133" i="89"/>
  <c r="B133" i="89"/>
  <c r="A133" i="89"/>
  <c r="H132" i="89"/>
  <c r="G132" i="89"/>
  <c r="F132" i="89"/>
  <c r="E132" i="89"/>
  <c r="D132" i="89"/>
  <c r="C132" i="89"/>
  <c r="B132" i="89"/>
  <c r="A132" i="89"/>
  <c r="H131" i="89"/>
  <c r="G131" i="89"/>
  <c r="F131" i="89"/>
  <c r="E131" i="89"/>
  <c r="D131" i="89"/>
  <c r="C131" i="89"/>
  <c r="B131" i="89"/>
  <c r="A131" i="89"/>
  <c r="H130" i="89"/>
  <c r="G130" i="89"/>
  <c r="F130" i="89"/>
  <c r="E130" i="89"/>
  <c r="D130" i="89"/>
  <c r="C130" i="89"/>
  <c r="B130" i="89"/>
  <c r="A130" i="89"/>
  <c r="H129" i="89"/>
  <c r="G129" i="89"/>
  <c r="F129" i="89"/>
  <c r="E129" i="89"/>
  <c r="D129" i="89"/>
  <c r="C129" i="89"/>
  <c r="B129" i="89"/>
  <c r="A129" i="89"/>
  <c r="H128" i="89"/>
  <c r="G128" i="89"/>
  <c r="F128" i="89"/>
  <c r="E128" i="89"/>
  <c r="D128" i="89"/>
  <c r="C128" i="89"/>
  <c r="B128" i="89"/>
  <c r="A128" i="89"/>
  <c r="H127" i="89"/>
  <c r="G127" i="89"/>
  <c r="F127" i="89"/>
  <c r="E127" i="89"/>
  <c r="D127" i="89"/>
  <c r="C127" i="89"/>
  <c r="B127" i="89"/>
  <c r="A127" i="89"/>
  <c r="H126" i="89"/>
  <c r="G126" i="89"/>
  <c r="F126" i="89"/>
  <c r="E126" i="89"/>
  <c r="D126" i="89"/>
  <c r="C126" i="89"/>
  <c r="B126" i="89"/>
  <c r="A126" i="89"/>
  <c r="H125" i="89"/>
  <c r="G125" i="89"/>
  <c r="F125" i="89"/>
  <c r="E125" i="89"/>
  <c r="D125" i="89"/>
  <c r="C125" i="89"/>
  <c r="B125" i="89"/>
  <c r="A125" i="89"/>
  <c r="H124" i="89"/>
  <c r="G124" i="89"/>
  <c r="F124" i="89"/>
  <c r="E124" i="89"/>
  <c r="D124" i="89"/>
  <c r="C124" i="89"/>
  <c r="B124" i="89"/>
  <c r="A124" i="89"/>
  <c r="H123" i="89"/>
  <c r="G123" i="89"/>
  <c r="F123" i="89"/>
  <c r="E123" i="89"/>
  <c r="D123" i="89"/>
  <c r="C123" i="89"/>
  <c r="B123" i="89"/>
  <c r="A123" i="89"/>
  <c r="H122" i="89"/>
  <c r="G122" i="89"/>
  <c r="F122" i="89"/>
  <c r="E122" i="89"/>
  <c r="D122" i="89"/>
  <c r="C122" i="89"/>
  <c r="B122" i="89"/>
  <c r="A122" i="89"/>
  <c r="H121" i="89"/>
  <c r="G121" i="89"/>
  <c r="F121" i="89"/>
  <c r="E121" i="89"/>
  <c r="D121" i="89"/>
  <c r="C121" i="89"/>
  <c r="B121" i="89"/>
  <c r="A121" i="89"/>
  <c r="H120" i="89"/>
  <c r="G120" i="89"/>
  <c r="F120" i="89"/>
  <c r="E120" i="89"/>
  <c r="D120" i="89"/>
  <c r="C120" i="89"/>
  <c r="B120" i="89"/>
  <c r="A120" i="89"/>
  <c r="H119" i="89"/>
  <c r="G119" i="89"/>
  <c r="F119" i="89"/>
  <c r="E119" i="89"/>
  <c r="D119" i="89"/>
  <c r="C119" i="89"/>
  <c r="B119" i="89"/>
  <c r="A119" i="89"/>
  <c r="H118" i="89"/>
  <c r="G118" i="89"/>
  <c r="F118" i="89"/>
  <c r="E118" i="89"/>
  <c r="D118" i="89"/>
  <c r="C118" i="89"/>
  <c r="B118" i="89"/>
  <c r="A118" i="89"/>
  <c r="H117" i="89"/>
  <c r="G117" i="89"/>
  <c r="F117" i="89"/>
  <c r="E117" i="89"/>
  <c r="D117" i="89"/>
  <c r="C117" i="89"/>
  <c r="B117" i="89"/>
  <c r="A117" i="89"/>
  <c r="H116" i="89"/>
  <c r="G116" i="89"/>
  <c r="F116" i="89"/>
  <c r="E116" i="89"/>
  <c r="D116" i="89"/>
  <c r="C116" i="89"/>
  <c r="B116" i="89"/>
  <c r="A116" i="89"/>
  <c r="H115" i="89"/>
  <c r="G115" i="89"/>
  <c r="F115" i="89"/>
  <c r="E115" i="89"/>
  <c r="D115" i="89"/>
  <c r="C115" i="89"/>
  <c r="B115" i="89"/>
  <c r="A115" i="89"/>
  <c r="H114" i="89"/>
  <c r="G114" i="89"/>
  <c r="F114" i="89"/>
  <c r="E114" i="89"/>
  <c r="D114" i="89"/>
  <c r="C114" i="89"/>
  <c r="B114" i="89"/>
  <c r="A114" i="89"/>
  <c r="H113" i="89"/>
  <c r="G113" i="89"/>
  <c r="F113" i="89"/>
  <c r="E113" i="89"/>
  <c r="D113" i="89"/>
  <c r="C113" i="89"/>
  <c r="B113" i="89"/>
  <c r="A113" i="89"/>
  <c r="H112" i="89"/>
  <c r="G112" i="89"/>
  <c r="F112" i="89"/>
  <c r="E112" i="89"/>
  <c r="D112" i="89"/>
  <c r="C112" i="89"/>
  <c r="B112" i="89"/>
  <c r="A112" i="89"/>
  <c r="H111" i="89"/>
  <c r="G111" i="89"/>
  <c r="F111" i="89"/>
  <c r="E111" i="89"/>
  <c r="D111" i="89"/>
  <c r="C111" i="89"/>
  <c r="B111" i="89"/>
  <c r="A111" i="89"/>
  <c r="H110" i="89"/>
  <c r="G110" i="89"/>
  <c r="F110" i="89"/>
  <c r="E110" i="89"/>
  <c r="D110" i="89"/>
  <c r="C110" i="89"/>
  <c r="B110" i="89"/>
  <c r="A110" i="89"/>
  <c r="H109" i="89"/>
  <c r="G109" i="89"/>
  <c r="F109" i="89"/>
  <c r="E109" i="89"/>
  <c r="D109" i="89"/>
  <c r="C109" i="89"/>
  <c r="B109" i="89"/>
  <c r="A109" i="89"/>
  <c r="H108" i="89"/>
  <c r="G108" i="89"/>
  <c r="F108" i="89"/>
  <c r="E108" i="89"/>
  <c r="D108" i="89"/>
  <c r="C108" i="89"/>
  <c r="B108" i="89"/>
  <c r="A108" i="89"/>
  <c r="H107" i="89"/>
  <c r="G107" i="89"/>
  <c r="F107" i="89"/>
  <c r="E107" i="89"/>
  <c r="D107" i="89"/>
  <c r="C107" i="89"/>
  <c r="B107" i="89"/>
  <c r="A107" i="89"/>
  <c r="H106" i="89"/>
  <c r="G106" i="89"/>
  <c r="F106" i="89"/>
  <c r="E106" i="89"/>
  <c r="D106" i="89"/>
  <c r="C106" i="89"/>
  <c r="B106" i="89"/>
  <c r="A106" i="89"/>
  <c r="H105" i="89"/>
  <c r="G105" i="89"/>
  <c r="F105" i="89"/>
  <c r="E105" i="89"/>
  <c r="D105" i="89"/>
  <c r="C105" i="89"/>
  <c r="B105" i="89"/>
  <c r="A105" i="89"/>
  <c r="H104" i="89"/>
  <c r="G104" i="89"/>
  <c r="F104" i="89"/>
  <c r="E104" i="89"/>
  <c r="D104" i="89"/>
  <c r="C104" i="89"/>
  <c r="B104" i="89"/>
  <c r="A104" i="89"/>
  <c r="H103" i="89"/>
  <c r="G103" i="89"/>
  <c r="F103" i="89"/>
  <c r="E103" i="89"/>
  <c r="D103" i="89"/>
  <c r="C103" i="89"/>
  <c r="B103" i="89"/>
  <c r="A103" i="89"/>
  <c r="H102" i="89"/>
  <c r="G102" i="89"/>
  <c r="F102" i="89"/>
  <c r="E102" i="89"/>
  <c r="D102" i="89"/>
  <c r="C102" i="89"/>
  <c r="B102" i="89"/>
  <c r="A102" i="89"/>
  <c r="H101" i="89"/>
  <c r="G101" i="89"/>
  <c r="F101" i="89"/>
  <c r="E101" i="89"/>
  <c r="D101" i="89"/>
  <c r="C101" i="89"/>
  <c r="B101" i="89"/>
  <c r="A101" i="89"/>
  <c r="H100" i="89"/>
  <c r="G100" i="89"/>
  <c r="F100" i="89"/>
  <c r="E100" i="89"/>
  <c r="D100" i="89"/>
  <c r="C100" i="89"/>
  <c r="B100" i="89"/>
  <c r="A100" i="89"/>
  <c r="H99" i="89"/>
  <c r="G99" i="89"/>
  <c r="F99" i="89"/>
  <c r="E99" i="89"/>
  <c r="D99" i="89"/>
  <c r="C99" i="89"/>
  <c r="B99" i="89"/>
  <c r="A99" i="89"/>
  <c r="H98" i="89"/>
  <c r="G98" i="89"/>
  <c r="F98" i="89"/>
  <c r="E98" i="89"/>
  <c r="D98" i="89"/>
  <c r="C98" i="89"/>
  <c r="B98" i="89"/>
  <c r="A98" i="89"/>
  <c r="H97" i="89"/>
  <c r="G97" i="89"/>
  <c r="F97" i="89"/>
  <c r="E97" i="89"/>
  <c r="D97" i="89"/>
  <c r="C97" i="89"/>
  <c r="B97" i="89"/>
  <c r="A97" i="89"/>
  <c r="H96" i="89"/>
  <c r="G96" i="89"/>
  <c r="F96" i="89"/>
  <c r="E96" i="89"/>
  <c r="D96" i="89"/>
  <c r="C96" i="89"/>
  <c r="B96" i="89"/>
  <c r="A96" i="89"/>
  <c r="H95" i="89"/>
  <c r="G95" i="89"/>
  <c r="F95" i="89"/>
  <c r="E95" i="89"/>
  <c r="D95" i="89"/>
  <c r="C95" i="89"/>
  <c r="B95" i="89"/>
  <c r="A95" i="89"/>
  <c r="H94" i="89"/>
  <c r="G94" i="89"/>
  <c r="F94" i="89"/>
  <c r="E94" i="89"/>
  <c r="D94" i="89"/>
  <c r="C94" i="89"/>
  <c r="B94" i="89"/>
  <c r="A94" i="89"/>
  <c r="H93" i="89"/>
  <c r="G93" i="89"/>
  <c r="F93" i="89"/>
  <c r="E93" i="89"/>
  <c r="D93" i="89"/>
  <c r="C93" i="89"/>
  <c r="B93" i="89"/>
  <c r="A93" i="89"/>
  <c r="H92" i="89"/>
  <c r="G92" i="89"/>
  <c r="F92" i="89"/>
  <c r="E92" i="89"/>
  <c r="D92" i="89"/>
  <c r="C92" i="89"/>
  <c r="B92" i="89"/>
  <c r="A92" i="89"/>
  <c r="H91" i="89"/>
  <c r="G91" i="89"/>
  <c r="F91" i="89"/>
  <c r="E91" i="89"/>
  <c r="D91" i="89"/>
  <c r="C91" i="89"/>
  <c r="B91" i="89"/>
  <c r="A91" i="89"/>
  <c r="H90" i="89"/>
  <c r="G90" i="89"/>
  <c r="F90" i="89"/>
  <c r="E90" i="89"/>
  <c r="D90" i="89"/>
  <c r="C90" i="89"/>
  <c r="B90" i="89"/>
  <c r="A90" i="89"/>
  <c r="H89" i="89"/>
  <c r="G89" i="89"/>
  <c r="F89" i="89"/>
  <c r="E89" i="89"/>
  <c r="D89" i="89"/>
  <c r="C89" i="89"/>
  <c r="B89" i="89"/>
  <c r="A89" i="89"/>
  <c r="H88" i="89"/>
  <c r="G88" i="89"/>
  <c r="F88" i="89"/>
  <c r="E88" i="89"/>
  <c r="D88" i="89"/>
  <c r="C88" i="89"/>
  <c r="B88" i="89"/>
  <c r="A88" i="89"/>
  <c r="H87" i="89"/>
  <c r="G87" i="89"/>
  <c r="F87" i="89"/>
  <c r="E87" i="89"/>
  <c r="D87" i="89"/>
  <c r="C87" i="89"/>
  <c r="B87" i="89"/>
  <c r="A87" i="89"/>
  <c r="H86" i="89"/>
  <c r="G86" i="89"/>
  <c r="F86" i="89"/>
  <c r="E86" i="89"/>
  <c r="D86" i="89"/>
  <c r="C86" i="89"/>
  <c r="B86" i="89"/>
  <c r="A86" i="89"/>
  <c r="H85" i="89"/>
  <c r="G85" i="89"/>
  <c r="F85" i="89"/>
  <c r="E85" i="89"/>
  <c r="D85" i="89"/>
  <c r="C85" i="89"/>
  <c r="B85" i="89"/>
  <c r="A85" i="89"/>
  <c r="H84" i="89"/>
  <c r="G84" i="89"/>
  <c r="F84" i="89"/>
  <c r="E84" i="89"/>
  <c r="D84" i="89"/>
  <c r="C84" i="89"/>
  <c r="B84" i="89"/>
  <c r="A84" i="89"/>
  <c r="H83" i="89"/>
  <c r="G83" i="89"/>
  <c r="F83" i="89"/>
  <c r="E83" i="89"/>
  <c r="D83" i="89"/>
  <c r="C83" i="89"/>
  <c r="B83" i="89"/>
  <c r="A83" i="89"/>
  <c r="H82" i="89"/>
  <c r="G82" i="89"/>
  <c r="F82" i="89"/>
  <c r="E82" i="89"/>
  <c r="D82" i="89"/>
  <c r="C82" i="89"/>
  <c r="B82" i="89"/>
  <c r="A82" i="89"/>
  <c r="H81" i="89"/>
  <c r="G81" i="89"/>
  <c r="F81" i="89"/>
  <c r="E81" i="89"/>
  <c r="D81" i="89"/>
  <c r="C81" i="89"/>
  <c r="B81" i="89"/>
  <c r="A81" i="89"/>
  <c r="H80" i="89"/>
  <c r="G80" i="89"/>
  <c r="F80" i="89"/>
  <c r="E80" i="89"/>
  <c r="D80" i="89"/>
  <c r="C80" i="89"/>
  <c r="B80" i="89"/>
  <c r="A80" i="89"/>
  <c r="H79" i="89"/>
  <c r="G79" i="89"/>
  <c r="F79" i="89"/>
  <c r="E79" i="89"/>
  <c r="D79" i="89"/>
  <c r="C79" i="89"/>
  <c r="B79" i="89"/>
  <c r="A79" i="89"/>
  <c r="H78" i="89"/>
  <c r="G78" i="89"/>
  <c r="F78" i="89"/>
  <c r="E78" i="89"/>
  <c r="D78" i="89"/>
  <c r="C78" i="89"/>
  <c r="B78" i="89"/>
  <c r="A78" i="89"/>
  <c r="H77" i="89"/>
  <c r="G77" i="89"/>
  <c r="F77" i="89"/>
  <c r="E77" i="89"/>
  <c r="D77" i="89"/>
  <c r="C77" i="89"/>
  <c r="B77" i="89"/>
  <c r="A77" i="89"/>
  <c r="H76" i="89"/>
  <c r="G76" i="89"/>
  <c r="F76" i="89"/>
  <c r="E76" i="89"/>
  <c r="D76" i="89"/>
  <c r="C76" i="89"/>
  <c r="B76" i="89"/>
  <c r="A76" i="89"/>
  <c r="H75" i="89"/>
  <c r="G75" i="89"/>
  <c r="F75" i="89"/>
  <c r="E75" i="89"/>
  <c r="D75" i="89"/>
  <c r="C75" i="89"/>
  <c r="B75" i="89"/>
  <c r="A75" i="89"/>
  <c r="H74" i="89"/>
  <c r="G74" i="89"/>
  <c r="F74" i="89"/>
  <c r="E74" i="89"/>
  <c r="D74" i="89"/>
  <c r="C74" i="89"/>
  <c r="B74" i="89"/>
  <c r="A74" i="89"/>
  <c r="H73" i="89"/>
  <c r="G73" i="89"/>
  <c r="F73" i="89"/>
  <c r="E73" i="89"/>
  <c r="D73" i="89"/>
  <c r="C73" i="89"/>
  <c r="B73" i="89"/>
  <c r="A73" i="89"/>
  <c r="H72" i="89"/>
  <c r="G72" i="89"/>
  <c r="F72" i="89"/>
  <c r="E72" i="89"/>
  <c r="D72" i="89"/>
  <c r="C72" i="89"/>
  <c r="B72" i="89"/>
  <c r="A72" i="89"/>
  <c r="H71" i="89"/>
  <c r="G71" i="89"/>
  <c r="F71" i="89"/>
  <c r="E71" i="89"/>
  <c r="D71" i="89"/>
  <c r="C71" i="89"/>
  <c r="B71" i="89"/>
  <c r="A71" i="89"/>
  <c r="H70" i="89"/>
  <c r="G70" i="89"/>
  <c r="F70" i="89"/>
  <c r="E70" i="89"/>
  <c r="D70" i="89"/>
  <c r="C70" i="89"/>
  <c r="B70" i="89"/>
  <c r="A70" i="89"/>
  <c r="H69" i="89"/>
  <c r="G69" i="89"/>
  <c r="F69" i="89"/>
  <c r="E69" i="89"/>
  <c r="D69" i="89"/>
  <c r="C69" i="89"/>
  <c r="B69" i="89"/>
  <c r="A69" i="89"/>
  <c r="H68" i="89"/>
  <c r="G68" i="89"/>
  <c r="F68" i="89"/>
  <c r="E68" i="89"/>
  <c r="D68" i="89"/>
  <c r="C68" i="89"/>
  <c r="B68" i="89"/>
  <c r="A68" i="89"/>
  <c r="I15" i="89"/>
  <c r="I16" i="89" s="1"/>
  <c r="J10" i="89"/>
  <c r="M10" i="89" s="1"/>
  <c r="N10" i="89" s="1"/>
  <c r="N11" i="89"/>
  <c r="N1" i="89" s="1"/>
  <c r="N4" i="89" s="1"/>
  <c r="J72" i="3"/>
  <c r="H205" i="88"/>
  <c r="G205" i="88"/>
  <c r="F205" i="88"/>
  <c r="E205" i="88"/>
  <c r="D205" i="88"/>
  <c r="C205" i="88"/>
  <c r="B205" i="88"/>
  <c r="A205" i="88"/>
  <c r="H204" i="88"/>
  <c r="G204" i="88"/>
  <c r="F204" i="88"/>
  <c r="E204" i="88"/>
  <c r="D204" i="88"/>
  <c r="C204" i="88"/>
  <c r="B204" i="88"/>
  <c r="A204" i="88"/>
  <c r="H203" i="88"/>
  <c r="G203" i="88"/>
  <c r="F203" i="88"/>
  <c r="E203" i="88"/>
  <c r="D203" i="88"/>
  <c r="C203" i="88"/>
  <c r="B203" i="88"/>
  <c r="A203" i="88"/>
  <c r="H202" i="88"/>
  <c r="G202" i="88"/>
  <c r="F202" i="88"/>
  <c r="E202" i="88"/>
  <c r="D202" i="88"/>
  <c r="C202" i="88"/>
  <c r="B202" i="88"/>
  <c r="A202" i="88"/>
  <c r="H201" i="88"/>
  <c r="G201" i="88"/>
  <c r="F201" i="88"/>
  <c r="E201" i="88"/>
  <c r="D201" i="88"/>
  <c r="C201" i="88"/>
  <c r="B201" i="88"/>
  <c r="A201" i="88"/>
  <c r="H200" i="88"/>
  <c r="G200" i="88"/>
  <c r="F200" i="88"/>
  <c r="E200" i="88"/>
  <c r="D200" i="88"/>
  <c r="C200" i="88"/>
  <c r="B200" i="88"/>
  <c r="A200" i="88"/>
  <c r="H199" i="88"/>
  <c r="G199" i="88"/>
  <c r="F199" i="88"/>
  <c r="E199" i="88"/>
  <c r="D199" i="88"/>
  <c r="C199" i="88"/>
  <c r="B199" i="88"/>
  <c r="A199" i="88"/>
  <c r="H198" i="88"/>
  <c r="G198" i="88"/>
  <c r="F198" i="88"/>
  <c r="E198" i="88"/>
  <c r="D198" i="88"/>
  <c r="C198" i="88"/>
  <c r="B198" i="88"/>
  <c r="A198" i="88"/>
  <c r="H197" i="88"/>
  <c r="G197" i="88"/>
  <c r="F197" i="88"/>
  <c r="E197" i="88"/>
  <c r="D197" i="88"/>
  <c r="C197" i="88"/>
  <c r="B197" i="88"/>
  <c r="A197" i="88"/>
  <c r="H196" i="88"/>
  <c r="G196" i="88"/>
  <c r="F196" i="88"/>
  <c r="E196" i="88"/>
  <c r="D196" i="88"/>
  <c r="C196" i="88"/>
  <c r="B196" i="88"/>
  <c r="A196" i="88"/>
  <c r="H195" i="88"/>
  <c r="G195" i="88"/>
  <c r="F195" i="88"/>
  <c r="E195" i="88"/>
  <c r="D195" i="88"/>
  <c r="C195" i="88"/>
  <c r="B195" i="88"/>
  <c r="A195" i="88"/>
  <c r="H194" i="88"/>
  <c r="G194" i="88"/>
  <c r="F194" i="88"/>
  <c r="E194" i="88"/>
  <c r="D194" i="88"/>
  <c r="C194" i="88"/>
  <c r="B194" i="88"/>
  <c r="A194" i="88"/>
  <c r="H193" i="88"/>
  <c r="G193" i="88"/>
  <c r="F193" i="88"/>
  <c r="E193" i="88"/>
  <c r="D193" i="88"/>
  <c r="C193" i="88"/>
  <c r="B193" i="88"/>
  <c r="A193" i="88"/>
  <c r="H192" i="88"/>
  <c r="G192" i="88"/>
  <c r="F192" i="88"/>
  <c r="E192" i="88"/>
  <c r="D192" i="88"/>
  <c r="C192" i="88"/>
  <c r="B192" i="88"/>
  <c r="A192" i="88"/>
  <c r="H191" i="88"/>
  <c r="G191" i="88"/>
  <c r="F191" i="88"/>
  <c r="E191" i="88"/>
  <c r="D191" i="88"/>
  <c r="C191" i="88"/>
  <c r="B191" i="88"/>
  <c r="A191" i="88"/>
  <c r="H190" i="88"/>
  <c r="G190" i="88"/>
  <c r="F190" i="88"/>
  <c r="E190" i="88"/>
  <c r="D190" i="88"/>
  <c r="C190" i="88"/>
  <c r="B190" i="88"/>
  <c r="A190" i="88"/>
  <c r="H189" i="88"/>
  <c r="G189" i="88"/>
  <c r="F189" i="88"/>
  <c r="E189" i="88"/>
  <c r="D189" i="88"/>
  <c r="C189" i="88"/>
  <c r="B189" i="88"/>
  <c r="A189" i="88"/>
  <c r="H188" i="88"/>
  <c r="G188" i="88"/>
  <c r="F188" i="88"/>
  <c r="E188" i="88"/>
  <c r="D188" i="88"/>
  <c r="C188" i="88"/>
  <c r="B188" i="88"/>
  <c r="A188" i="88"/>
  <c r="H187" i="88"/>
  <c r="G187" i="88"/>
  <c r="F187" i="88"/>
  <c r="E187" i="88"/>
  <c r="D187" i="88"/>
  <c r="C187" i="88"/>
  <c r="B187" i="88"/>
  <c r="A187" i="88"/>
  <c r="H186" i="88"/>
  <c r="G186" i="88"/>
  <c r="F186" i="88"/>
  <c r="E186" i="88"/>
  <c r="D186" i="88"/>
  <c r="C186" i="88"/>
  <c r="B186" i="88"/>
  <c r="A186" i="88"/>
  <c r="H185" i="88"/>
  <c r="G185" i="88"/>
  <c r="F185" i="88"/>
  <c r="E185" i="88"/>
  <c r="D185" i="88"/>
  <c r="C185" i="88"/>
  <c r="B185" i="88"/>
  <c r="A185" i="88"/>
  <c r="H184" i="88"/>
  <c r="G184" i="88"/>
  <c r="F184" i="88"/>
  <c r="E184" i="88"/>
  <c r="D184" i="88"/>
  <c r="C184" i="88"/>
  <c r="B184" i="88"/>
  <c r="A184" i="88"/>
  <c r="H183" i="88"/>
  <c r="G183" i="88"/>
  <c r="F183" i="88"/>
  <c r="E183" i="88"/>
  <c r="D183" i="88"/>
  <c r="C183" i="88"/>
  <c r="B183" i="88"/>
  <c r="A183" i="88"/>
  <c r="H182" i="88"/>
  <c r="G182" i="88"/>
  <c r="F182" i="88"/>
  <c r="E182" i="88"/>
  <c r="D182" i="88"/>
  <c r="C182" i="88"/>
  <c r="B182" i="88"/>
  <c r="A182" i="88"/>
  <c r="H181" i="88"/>
  <c r="G181" i="88"/>
  <c r="F181" i="88"/>
  <c r="E181" i="88"/>
  <c r="D181" i="88"/>
  <c r="C181" i="88"/>
  <c r="B181" i="88"/>
  <c r="A181" i="88"/>
  <c r="H180" i="88"/>
  <c r="G180" i="88"/>
  <c r="F180" i="88"/>
  <c r="E180" i="88"/>
  <c r="D180" i="88"/>
  <c r="C180" i="88"/>
  <c r="B180" i="88"/>
  <c r="A180" i="88"/>
  <c r="H179" i="88"/>
  <c r="G179" i="88"/>
  <c r="F179" i="88"/>
  <c r="E179" i="88"/>
  <c r="D179" i="88"/>
  <c r="C179" i="88"/>
  <c r="B179" i="88"/>
  <c r="A179" i="88"/>
  <c r="H178" i="88"/>
  <c r="G178" i="88"/>
  <c r="F178" i="88"/>
  <c r="E178" i="88"/>
  <c r="D178" i="88"/>
  <c r="C178" i="88"/>
  <c r="B178" i="88"/>
  <c r="A178" i="88"/>
  <c r="H177" i="88"/>
  <c r="G177" i="88"/>
  <c r="F177" i="88"/>
  <c r="E177" i="88"/>
  <c r="D177" i="88"/>
  <c r="C177" i="88"/>
  <c r="B177" i="88"/>
  <c r="A177" i="88"/>
  <c r="H176" i="88"/>
  <c r="G176" i="88"/>
  <c r="F176" i="88"/>
  <c r="E176" i="88"/>
  <c r="D176" i="88"/>
  <c r="C176" i="88"/>
  <c r="B176" i="88"/>
  <c r="A176" i="88"/>
  <c r="H175" i="88"/>
  <c r="G175" i="88"/>
  <c r="F175" i="88"/>
  <c r="E175" i="88"/>
  <c r="D175" i="88"/>
  <c r="C175" i="88"/>
  <c r="B175" i="88"/>
  <c r="A175" i="88"/>
  <c r="H174" i="88"/>
  <c r="G174" i="88"/>
  <c r="F174" i="88"/>
  <c r="E174" i="88"/>
  <c r="D174" i="88"/>
  <c r="C174" i="88"/>
  <c r="B174" i="88"/>
  <c r="A174" i="88"/>
  <c r="H173" i="88"/>
  <c r="G173" i="88"/>
  <c r="F173" i="88"/>
  <c r="E173" i="88"/>
  <c r="D173" i="88"/>
  <c r="C173" i="88"/>
  <c r="B173" i="88"/>
  <c r="A173" i="88"/>
  <c r="H172" i="88"/>
  <c r="G172" i="88"/>
  <c r="F172" i="88"/>
  <c r="E172" i="88"/>
  <c r="D172" i="88"/>
  <c r="C172" i="88"/>
  <c r="B172" i="88"/>
  <c r="A172" i="88"/>
  <c r="H171" i="88"/>
  <c r="G171" i="88"/>
  <c r="F171" i="88"/>
  <c r="E171" i="88"/>
  <c r="D171" i="88"/>
  <c r="C171" i="88"/>
  <c r="B171" i="88"/>
  <c r="A171" i="88"/>
  <c r="H170" i="88"/>
  <c r="G170" i="88"/>
  <c r="F170" i="88"/>
  <c r="E170" i="88"/>
  <c r="D170" i="88"/>
  <c r="C170" i="88"/>
  <c r="B170" i="88"/>
  <c r="A170" i="88"/>
  <c r="H169" i="88"/>
  <c r="G169" i="88"/>
  <c r="F169" i="88"/>
  <c r="E169" i="88"/>
  <c r="D169" i="88"/>
  <c r="C169" i="88"/>
  <c r="B169" i="88"/>
  <c r="A169" i="88"/>
  <c r="H168" i="88"/>
  <c r="G168" i="88"/>
  <c r="F168" i="88"/>
  <c r="E168" i="88"/>
  <c r="D168" i="88"/>
  <c r="C168" i="88"/>
  <c r="B168" i="88"/>
  <c r="A168" i="88"/>
  <c r="H167" i="88"/>
  <c r="G167" i="88"/>
  <c r="F167" i="88"/>
  <c r="E167" i="88"/>
  <c r="D167" i="88"/>
  <c r="C167" i="88"/>
  <c r="B167" i="88"/>
  <c r="A167" i="88"/>
  <c r="H166" i="88"/>
  <c r="G166" i="88"/>
  <c r="F166" i="88"/>
  <c r="E166" i="88"/>
  <c r="D166" i="88"/>
  <c r="C166" i="88"/>
  <c r="B166" i="88"/>
  <c r="A166" i="88"/>
  <c r="H165" i="88"/>
  <c r="G165" i="88"/>
  <c r="F165" i="88"/>
  <c r="E165" i="88"/>
  <c r="D165" i="88"/>
  <c r="C165" i="88"/>
  <c r="B165" i="88"/>
  <c r="A165" i="88"/>
  <c r="H164" i="88"/>
  <c r="G164" i="88"/>
  <c r="F164" i="88"/>
  <c r="E164" i="88"/>
  <c r="D164" i="88"/>
  <c r="C164" i="88"/>
  <c r="B164" i="88"/>
  <c r="A164" i="88"/>
  <c r="H163" i="88"/>
  <c r="G163" i="88"/>
  <c r="F163" i="88"/>
  <c r="E163" i="88"/>
  <c r="D163" i="88"/>
  <c r="C163" i="88"/>
  <c r="B163" i="88"/>
  <c r="A163" i="88"/>
  <c r="H162" i="88"/>
  <c r="G162" i="88"/>
  <c r="F162" i="88"/>
  <c r="E162" i="88"/>
  <c r="D162" i="88"/>
  <c r="C162" i="88"/>
  <c r="B162" i="88"/>
  <c r="A162" i="88"/>
  <c r="H161" i="88"/>
  <c r="G161" i="88"/>
  <c r="F161" i="88"/>
  <c r="E161" i="88"/>
  <c r="D161" i="88"/>
  <c r="C161" i="88"/>
  <c r="B161" i="88"/>
  <c r="A161" i="88"/>
  <c r="H160" i="88"/>
  <c r="G160" i="88"/>
  <c r="F160" i="88"/>
  <c r="E160" i="88"/>
  <c r="D160" i="88"/>
  <c r="C160" i="88"/>
  <c r="B160" i="88"/>
  <c r="A160" i="88"/>
  <c r="H159" i="88"/>
  <c r="G159" i="88"/>
  <c r="F159" i="88"/>
  <c r="E159" i="88"/>
  <c r="D159" i="88"/>
  <c r="C159" i="88"/>
  <c r="B159" i="88"/>
  <c r="A159" i="88"/>
  <c r="H158" i="88"/>
  <c r="G158" i="88"/>
  <c r="F158" i="88"/>
  <c r="E158" i="88"/>
  <c r="D158" i="88"/>
  <c r="C158" i="88"/>
  <c r="B158" i="88"/>
  <c r="A158" i="88"/>
  <c r="H157" i="88"/>
  <c r="G157" i="88"/>
  <c r="F157" i="88"/>
  <c r="E157" i="88"/>
  <c r="D157" i="88"/>
  <c r="C157" i="88"/>
  <c r="B157" i="88"/>
  <c r="A157" i="88"/>
  <c r="H156" i="88"/>
  <c r="G156" i="88"/>
  <c r="F156" i="88"/>
  <c r="E156" i="88"/>
  <c r="D156" i="88"/>
  <c r="C156" i="88"/>
  <c r="B156" i="88"/>
  <c r="A156" i="88"/>
  <c r="H155" i="88"/>
  <c r="G155" i="88"/>
  <c r="F155" i="88"/>
  <c r="E155" i="88"/>
  <c r="D155" i="88"/>
  <c r="C155" i="88"/>
  <c r="B155" i="88"/>
  <c r="A155" i="88"/>
  <c r="H154" i="88"/>
  <c r="G154" i="88"/>
  <c r="F154" i="88"/>
  <c r="E154" i="88"/>
  <c r="D154" i="88"/>
  <c r="C154" i="88"/>
  <c r="B154" i="88"/>
  <c r="A154" i="88"/>
  <c r="H153" i="88"/>
  <c r="G153" i="88"/>
  <c r="F153" i="88"/>
  <c r="E153" i="88"/>
  <c r="D153" i="88"/>
  <c r="C153" i="88"/>
  <c r="B153" i="88"/>
  <c r="A153" i="88"/>
  <c r="H152" i="88"/>
  <c r="G152" i="88"/>
  <c r="F152" i="88"/>
  <c r="E152" i="88"/>
  <c r="D152" i="88"/>
  <c r="C152" i="88"/>
  <c r="B152" i="88"/>
  <c r="A152" i="88"/>
  <c r="H151" i="88"/>
  <c r="G151" i="88"/>
  <c r="F151" i="88"/>
  <c r="E151" i="88"/>
  <c r="D151" i="88"/>
  <c r="C151" i="88"/>
  <c r="B151" i="88"/>
  <c r="A151" i="88"/>
  <c r="H150" i="88"/>
  <c r="G150" i="88"/>
  <c r="F150" i="88"/>
  <c r="E150" i="88"/>
  <c r="D150" i="88"/>
  <c r="C150" i="88"/>
  <c r="B150" i="88"/>
  <c r="A150" i="88"/>
  <c r="H149" i="88"/>
  <c r="G149" i="88"/>
  <c r="F149" i="88"/>
  <c r="E149" i="88"/>
  <c r="D149" i="88"/>
  <c r="C149" i="88"/>
  <c r="B149" i="88"/>
  <c r="A149" i="88"/>
  <c r="H148" i="88"/>
  <c r="G148" i="88"/>
  <c r="F148" i="88"/>
  <c r="E148" i="88"/>
  <c r="D148" i="88"/>
  <c r="C148" i="88"/>
  <c r="B148" i="88"/>
  <c r="A148" i="88"/>
  <c r="H147" i="88"/>
  <c r="G147" i="88"/>
  <c r="F147" i="88"/>
  <c r="E147" i="88"/>
  <c r="D147" i="88"/>
  <c r="C147" i="88"/>
  <c r="B147" i="88"/>
  <c r="A147" i="88"/>
  <c r="H146" i="88"/>
  <c r="G146" i="88"/>
  <c r="F146" i="88"/>
  <c r="E146" i="88"/>
  <c r="D146" i="88"/>
  <c r="C146" i="88"/>
  <c r="B146" i="88"/>
  <c r="A146" i="88"/>
  <c r="H145" i="88"/>
  <c r="G145" i="88"/>
  <c r="F145" i="88"/>
  <c r="E145" i="88"/>
  <c r="D145" i="88"/>
  <c r="C145" i="88"/>
  <c r="B145" i="88"/>
  <c r="A145" i="88"/>
  <c r="H144" i="88"/>
  <c r="G144" i="88"/>
  <c r="F144" i="88"/>
  <c r="E144" i="88"/>
  <c r="D144" i="88"/>
  <c r="C144" i="88"/>
  <c r="B144" i="88"/>
  <c r="A144" i="88"/>
  <c r="H143" i="88"/>
  <c r="G143" i="88"/>
  <c r="F143" i="88"/>
  <c r="E143" i="88"/>
  <c r="D143" i="88"/>
  <c r="C143" i="88"/>
  <c r="B143" i="88"/>
  <c r="A143" i="88"/>
  <c r="H142" i="88"/>
  <c r="G142" i="88"/>
  <c r="F142" i="88"/>
  <c r="E142" i="88"/>
  <c r="D142" i="88"/>
  <c r="C142" i="88"/>
  <c r="B142" i="88"/>
  <c r="A142" i="88"/>
  <c r="H141" i="88"/>
  <c r="G141" i="88"/>
  <c r="F141" i="88"/>
  <c r="E141" i="88"/>
  <c r="D141" i="88"/>
  <c r="C141" i="88"/>
  <c r="B141" i="88"/>
  <c r="A141" i="88"/>
  <c r="H140" i="88"/>
  <c r="G140" i="88"/>
  <c r="F140" i="88"/>
  <c r="E140" i="88"/>
  <c r="D140" i="88"/>
  <c r="C140" i="88"/>
  <c r="B140" i="88"/>
  <c r="A140" i="88"/>
  <c r="H139" i="88"/>
  <c r="G139" i="88"/>
  <c r="F139" i="88"/>
  <c r="E139" i="88"/>
  <c r="D139" i="88"/>
  <c r="C139" i="88"/>
  <c r="B139" i="88"/>
  <c r="A139" i="88"/>
  <c r="H138" i="88"/>
  <c r="G138" i="88"/>
  <c r="F138" i="88"/>
  <c r="E138" i="88"/>
  <c r="D138" i="88"/>
  <c r="C138" i="88"/>
  <c r="B138" i="88"/>
  <c r="A138" i="88"/>
  <c r="H137" i="88"/>
  <c r="G137" i="88"/>
  <c r="F137" i="88"/>
  <c r="E137" i="88"/>
  <c r="D137" i="88"/>
  <c r="C137" i="88"/>
  <c r="B137" i="88"/>
  <c r="A137" i="88"/>
  <c r="H136" i="88"/>
  <c r="G136" i="88"/>
  <c r="F136" i="88"/>
  <c r="E136" i="88"/>
  <c r="D136" i="88"/>
  <c r="C136" i="88"/>
  <c r="B136" i="88"/>
  <c r="A136" i="88"/>
  <c r="H135" i="88"/>
  <c r="G135" i="88"/>
  <c r="F135" i="88"/>
  <c r="E135" i="88"/>
  <c r="D135" i="88"/>
  <c r="C135" i="88"/>
  <c r="B135" i="88"/>
  <c r="A135" i="88"/>
  <c r="H134" i="88"/>
  <c r="G134" i="88"/>
  <c r="F134" i="88"/>
  <c r="E134" i="88"/>
  <c r="D134" i="88"/>
  <c r="C134" i="88"/>
  <c r="B134" i="88"/>
  <c r="A134" i="88"/>
  <c r="H133" i="88"/>
  <c r="G133" i="88"/>
  <c r="F133" i="88"/>
  <c r="E133" i="88"/>
  <c r="D133" i="88"/>
  <c r="C133" i="88"/>
  <c r="B133" i="88"/>
  <c r="A133" i="88"/>
  <c r="H132" i="88"/>
  <c r="G132" i="88"/>
  <c r="F132" i="88"/>
  <c r="E132" i="88"/>
  <c r="D132" i="88"/>
  <c r="C132" i="88"/>
  <c r="B132" i="88"/>
  <c r="A132" i="88"/>
  <c r="H131" i="88"/>
  <c r="G131" i="88"/>
  <c r="F131" i="88"/>
  <c r="E131" i="88"/>
  <c r="D131" i="88"/>
  <c r="C131" i="88"/>
  <c r="B131" i="88"/>
  <c r="A131" i="88"/>
  <c r="H130" i="88"/>
  <c r="G130" i="88"/>
  <c r="F130" i="88"/>
  <c r="E130" i="88"/>
  <c r="D130" i="88"/>
  <c r="C130" i="88"/>
  <c r="B130" i="88"/>
  <c r="A130" i="88"/>
  <c r="H129" i="88"/>
  <c r="G129" i="88"/>
  <c r="F129" i="88"/>
  <c r="E129" i="88"/>
  <c r="D129" i="88"/>
  <c r="C129" i="88"/>
  <c r="B129" i="88"/>
  <c r="A129" i="88"/>
  <c r="H128" i="88"/>
  <c r="G128" i="88"/>
  <c r="F128" i="88"/>
  <c r="E128" i="88"/>
  <c r="D128" i="88"/>
  <c r="C128" i="88"/>
  <c r="B128" i="88"/>
  <c r="A128" i="88"/>
  <c r="H127" i="88"/>
  <c r="G127" i="88"/>
  <c r="F127" i="88"/>
  <c r="E127" i="88"/>
  <c r="D127" i="88"/>
  <c r="C127" i="88"/>
  <c r="B127" i="88"/>
  <c r="A127" i="88"/>
  <c r="H126" i="88"/>
  <c r="G126" i="88"/>
  <c r="F126" i="88"/>
  <c r="E126" i="88"/>
  <c r="D126" i="88"/>
  <c r="C126" i="88"/>
  <c r="B126" i="88"/>
  <c r="A126" i="88"/>
  <c r="H125" i="88"/>
  <c r="G125" i="88"/>
  <c r="F125" i="88"/>
  <c r="E125" i="88"/>
  <c r="D125" i="88"/>
  <c r="C125" i="88"/>
  <c r="B125" i="88"/>
  <c r="A125" i="88"/>
  <c r="H124" i="88"/>
  <c r="G124" i="88"/>
  <c r="F124" i="88"/>
  <c r="E124" i="88"/>
  <c r="D124" i="88"/>
  <c r="C124" i="88"/>
  <c r="B124" i="88"/>
  <c r="A124" i="88"/>
  <c r="H123" i="88"/>
  <c r="G123" i="88"/>
  <c r="F123" i="88"/>
  <c r="E123" i="88"/>
  <c r="D123" i="88"/>
  <c r="C123" i="88"/>
  <c r="B123" i="88"/>
  <c r="A123" i="88"/>
  <c r="H122" i="88"/>
  <c r="G122" i="88"/>
  <c r="F122" i="88"/>
  <c r="E122" i="88"/>
  <c r="D122" i="88"/>
  <c r="C122" i="88"/>
  <c r="B122" i="88"/>
  <c r="A122" i="88"/>
  <c r="H121" i="88"/>
  <c r="G121" i="88"/>
  <c r="F121" i="88"/>
  <c r="E121" i="88"/>
  <c r="D121" i="88"/>
  <c r="C121" i="88"/>
  <c r="B121" i="88"/>
  <c r="A121" i="88"/>
  <c r="H120" i="88"/>
  <c r="G120" i="88"/>
  <c r="F120" i="88"/>
  <c r="E120" i="88"/>
  <c r="D120" i="88"/>
  <c r="C120" i="88"/>
  <c r="B120" i="88"/>
  <c r="A120" i="88"/>
  <c r="H119" i="88"/>
  <c r="G119" i="88"/>
  <c r="F119" i="88"/>
  <c r="E119" i="88"/>
  <c r="D119" i="88"/>
  <c r="C119" i="88"/>
  <c r="B119" i="88"/>
  <c r="A119" i="88"/>
  <c r="H118" i="88"/>
  <c r="G118" i="88"/>
  <c r="F118" i="88"/>
  <c r="E118" i="88"/>
  <c r="D118" i="88"/>
  <c r="C118" i="88"/>
  <c r="B118" i="88"/>
  <c r="A118" i="88"/>
  <c r="H117" i="88"/>
  <c r="G117" i="88"/>
  <c r="F117" i="88"/>
  <c r="E117" i="88"/>
  <c r="D117" i="88"/>
  <c r="C117" i="88"/>
  <c r="B117" i="88"/>
  <c r="A117" i="88"/>
  <c r="H116" i="88"/>
  <c r="G116" i="88"/>
  <c r="F116" i="88"/>
  <c r="E116" i="88"/>
  <c r="D116" i="88"/>
  <c r="C116" i="88"/>
  <c r="B116" i="88"/>
  <c r="A116" i="88"/>
  <c r="H115" i="88"/>
  <c r="G115" i="88"/>
  <c r="F115" i="88"/>
  <c r="E115" i="88"/>
  <c r="D115" i="88"/>
  <c r="C115" i="88"/>
  <c r="B115" i="88"/>
  <c r="A115" i="88"/>
  <c r="H114" i="88"/>
  <c r="G114" i="88"/>
  <c r="F114" i="88"/>
  <c r="E114" i="88"/>
  <c r="D114" i="88"/>
  <c r="C114" i="88"/>
  <c r="B114" i="88"/>
  <c r="A114" i="88"/>
  <c r="H113" i="88"/>
  <c r="G113" i="88"/>
  <c r="F113" i="88"/>
  <c r="E113" i="88"/>
  <c r="D113" i="88"/>
  <c r="C113" i="88"/>
  <c r="B113" i="88"/>
  <c r="A113" i="88"/>
  <c r="H112" i="88"/>
  <c r="G112" i="88"/>
  <c r="F112" i="88"/>
  <c r="E112" i="88"/>
  <c r="D112" i="88"/>
  <c r="C112" i="88"/>
  <c r="B112" i="88"/>
  <c r="A112" i="88"/>
  <c r="H111" i="88"/>
  <c r="G111" i="88"/>
  <c r="F111" i="88"/>
  <c r="E111" i="88"/>
  <c r="D111" i="88"/>
  <c r="C111" i="88"/>
  <c r="B111" i="88"/>
  <c r="A111" i="88"/>
  <c r="H110" i="88"/>
  <c r="G110" i="88"/>
  <c r="F110" i="88"/>
  <c r="E110" i="88"/>
  <c r="D110" i="88"/>
  <c r="C110" i="88"/>
  <c r="B110" i="88"/>
  <c r="A110" i="88"/>
  <c r="H109" i="88"/>
  <c r="G109" i="88"/>
  <c r="F109" i="88"/>
  <c r="E109" i="88"/>
  <c r="D109" i="88"/>
  <c r="C109" i="88"/>
  <c r="B109" i="88"/>
  <c r="A109" i="88"/>
  <c r="H108" i="88"/>
  <c r="G108" i="88"/>
  <c r="F108" i="88"/>
  <c r="E108" i="88"/>
  <c r="D108" i="88"/>
  <c r="C108" i="88"/>
  <c r="B108" i="88"/>
  <c r="A108" i="88"/>
  <c r="H107" i="88"/>
  <c r="G107" i="88"/>
  <c r="F107" i="88"/>
  <c r="E107" i="88"/>
  <c r="D107" i="88"/>
  <c r="C107" i="88"/>
  <c r="B107" i="88"/>
  <c r="A107" i="88"/>
  <c r="H106" i="88"/>
  <c r="G106" i="88"/>
  <c r="F106" i="88"/>
  <c r="E106" i="88"/>
  <c r="D106" i="88"/>
  <c r="C106" i="88"/>
  <c r="B106" i="88"/>
  <c r="A106" i="88"/>
  <c r="H105" i="88"/>
  <c r="G105" i="88"/>
  <c r="F105" i="88"/>
  <c r="E105" i="88"/>
  <c r="D105" i="88"/>
  <c r="C105" i="88"/>
  <c r="B105" i="88"/>
  <c r="A105" i="88"/>
  <c r="H104" i="88"/>
  <c r="G104" i="88"/>
  <c r="F104" i="88"/>
  <c r="E104" i="88"/>
  <c r="D104" i="88"/>
  <c r="C104" i="88"/>
  <c r="B104" i="88"/>
  <c r="A104" i="88"/>
  <c r="H103" i="88"/>
  <c r="G103" i="88"/>
  <c r="F103" i="88"/>
  <c r="E103" i="88"/>
  <c r="D103" i="88"/>
  <c r="C103" i="88"/>
  <c r="B103" i="88"/>
  <c r="A103" i="88"/>
  <c r="H102" i="88"/>
  <c r="G102" i="88"/>
  <c r="F102" i="88"/>
  <c r="E102" i="88"/>
  <c r="D102" i="88"/>
  <c r="C102" i="88"/>
  <c r="B102" i="88"/>
  <c r="A102" i="88"/>
  <c r="H101" i="88"/>
  <c r="G101" i="88"/>
  <c r="F101" i="88"/>
  <c r="E101" i="88"/>
  <c r="D101" i="88"/>
  <c r="C101" i="88"/>
  <c r="B101" i="88"/>
  <c r="A101" i="88"/>
  <c r="H100" i="88"/>
  <c r="G100" i="88"/>
  <c r="F100" i="88"/>
  <c r="E100" i="88"/>
  <c r="D100" i="88"/>
  <c r="C100" i="88"/>
  <c r="B100" i="88"/>
  <c r="A100" i="88"/>
  <c r="H99" i="88"/>
  <c r="G99" i="88"/>
  <c r="F99" i="88"/>
  <c r="E99" i="88"/>
  <c r="D99" i="88"/>
  <c r="C99" i="88"/>
  <c r="B99" i="88"/>
  <c r="A99" i="88"/>
  <c r="H98" i="88"/>
  <c r="G98" i="88"/>
  <c r="F98" i="88"/>
  <c r="E98" i="88"/>
  <c r="D98" i="88"/>
  <c r="C98" i="88"/>
  <c r="B98" i="88"/>
  <c r="A98" i="88"/>
  <c r="H97" i="88"/>
  <c r="G97" i="88"/>
  <c r="F97" i="88"/>
  <c r="E97" i="88"/>
  <c r="D97" i="88"/>
  <c r="C97" i="88"/>
  <c r="B97" i="88"/>
  <c r="A97" i="88"/>
  <c r="H96" i="88"/>
  <c r="G96" i="88"/>
  <c r="F96" i="88"/>
  <c r="E96" i="88"/>
  <c r="D96" i="88"/>
  <c r="C96" i="88"/>
  <c r="B96" i="88"/>
  <c r="A96" i="88"/>
  <c r="H95" i="88"/>
  <c r="G95" i="88"/>
  <c r="F95" i="88"/>
  <c r="E95" i="88"/>
  <c r="D95" i="88"/>
  <c r="C95" i="88"/>
  <c r="B95" i="88"/>
  <c r="A95" i="88"/>
  <c r="H94" i="88"/>
  <c r="G94" i="88"/>
  <c r="F94" i="88"/>
  <c r="E94" i="88"/>
  <c r="D94" i="88"/>
  <c r="C94" i="88"/>
  <c r="B94" i="88"/>
  <c r="A94" i="88"/>
  <c r="H93" i="88"/>
  <c r="G93" i="88"/>
  <c r="F93" i="88"/>
  <c r="E93" i="88"/>
  <c r="D93" i="88"/>
  <c r="C93" i="88"/>
  <c r="B93" i="88"/>
  <c r="A93" i="88"/>
  <c r="H92" i="88"/>
  <c r="G92" i="88"/>
  <c r="F92" i="88"/>
  <c r="E92" i="88"/>
  <c r="D92" i="88"/>
  <c r="C92" i="88"/>
  <c r="B92" i="88"/>
  <c r="A92" i="88"/>
  <c r="H91" i="88"/>
  <c r="G91" i="88"/>
  <c r="F91" i="88"/>
  <c r="E91" i="88"/>
  <c r="D91" i="88"/>
  <c r="C91" i="88"/>
  <c r="B91" i="88"/>
  <c r="A91" i="88"/>
  <c r="H90" i="88"/>
  <c r="G90" i="88"/>
  <c r="F90" i="88"/>
  <c r="E90" i="88"/>
  <c r="D90" i="88"/>
  <c r="C90" i="88"/>
  <c r="B90" i="88"/>
  <c r="A90" i="88"/>
  <c r="H89" i="88"/>
  <c r="G89" i="88"/>
  <c r="F89" i="88"/>
  <c r="E89" i="88"/>
  <c r="D89" i="88"/>
  <c r="C89" i="88"/>
  <c r="B89" i="88"/>
  <c r="A89" i="88"/>
  <c r="H88" i="88"/>
  <c r="G88" i="88"/>
  <c r="F88" i="88"/>
  <c r="E88" i="88"/>
  <c r="D88" i="88"/>
  <c r="C88" i="88"/>
  <c r="B88" i="88"/>
  <c r="A88" i="88"/>
  <c r="H87" i="88"/>
  <c r="G87" i="88"/>
  <c r="F87" i="88"/>
  <c r="E87" i="88"/>
  <c r="D87" i="88"/>
  <c r="C87" i="88"/>
  <c r="B87" i="88"/>
  <c r="A87" i="88"/>
  <c r="H86" i="88"/>
  <c r="G86" i="88"/>
  <c r="F86" i="88"/>
  <c r="E86" i="88"/>
  <c r="D86" i="88"/>
  <c r="C86" i="88"/>
  <c r="B86" i="88"/>
  <c r="A86" i="88"/>
  <c r="H85" i="88"/>
  <c r="G85" i="88"/>
  <c r="F85" i="88"/>
  <c r="E85" i="88"/>
  <c r="D85" i="88"/>
  <c r="C85" i="88"/>
  <c r="B85" i="88"/>
  <c r="A85" i="88"/>
  <c r="H84" i="88"/>
  <c r="G84" i="88"/>
  <c r="F84" i="88"/>
  <c r="E84" i="88"/>
  <c r="D84" i="88"/>
  <c r="C84" i="88"/>
  <c r="B84" i="88"/>
  <c r="A84" i="88"/>
  <c r="H83" i="88"/>
  <c r="G83" i="88"/>
  <c r="F83" i="88"/>
  <c r="E83" i="88"/>
  <c r="D83" i="88"/>
  <c r="C83" i="88"/>
  <c r="B83" i="88"/>
  <c r="A83" i="88"/>
  <c r="H82" i="88"/>
  <c r="G82" i="88"/>
  <c r="F82" i="88"/>
  <c r="E82" i="88"/>
  <c r="D82" i="88"/>
  <c r="C82" i="88"/>
  <c r="B82" i="88"/>
  <c r="A82" i="88"/>
  <c r="H81" i="88"/>
  <c r="G81" i="88"/>
  <c r="F81" i="88"/>
  <c r="E81" i="88"/>
  <c r="D81" i="88"/>
  <c r="C81" i="88"/>
  <c r="B81" i="88"/>
  <c r="A81" i="88"/>
  <c r="H80" i="88"/>
  <c r="G80" i="88"/>
  <c r="F80" i="88"/>
  <c r="E80" i="88"/>
  <c r="D80" i="88"/>
  <c r="C80" i="88"/>
  <c r="B80" i="88"/>
  <c r="A80" i="88"/>
  <c r="H79" i="88"/>
  <c r="G79" i="88"/>
  <c r="F79" i="88"/>
  <c r="E79" i="88"/>
  <c r="D79" i="88"/>
  <c r="C79" i="88"/>
  <c r="B79" i="88"/>
  <c r="A79" i="88"/>
  <c r="H78" i="88"/>
  <c r="G78" i="88"/>
  <c r="F78" i="88"/>
  <c r="E78" i="88"/>
  <c r="D78" i="88"/>
  <c r="C78" i="88"/>
  <c r="B78" i="88"/>
  <c r="A78" i="88"/>
  <c r="H77" i="88"/>
  <c r="G77" i="88"/>
  <c r="F77" i="88"/>
  <c r="E77" i="88"/>
  <c r="D77" i="88"/>
  <c r="C77" i="88"/>
  <c r="B77" i="88"/>
  <c r="A77" i="88"/>
  <c r="H76" i="88"/>
  <c r="G76" i="88"/>
  <c r="F76" i="88"/>
  <c r="E76" i="88"/>
  <c r="D76" i="88"/>
  <c r="C76" i="88"/>
  <c r="B76" i="88"/>
  <c r="A76" i="88"/>
  <c r="H75" i="88"/>
  <c r="G75" i="88"/>
  <c r="F75" i="88"/>
  <c r="E75" i="88"/>
  <c r="D75" i="88"/>
  <c r="C75" i="88"/>
  <c r="B75" i="88"/>
  <c r="A75" i="88"/>
  <c r="H74" i="88"/>
  <c r="G74" i="88"/>
  <c r="F74" i="88"/>
  <c r="E74" i="88"/>
  <c r="D74" i="88"/>
  <c r="C74" i="88"/>
  <c r="B74" i="88"/>
  <c r="A74" i="88"/>
  <c r="H73" i="88"/>
  <c r="G73" i="88"/>
  <c r="F73" i="88"/>
  <c r="E73" i="88"/>
  <c r="D73" i="88"/>
  <c r="C73" i="88"/>
  <c r="B73" i="88"/>
  <c r="A73" i="88"/>
  <c r="H72" i="88"/>
  <c r="G72" i="88"/>
  <c r="F72" i="88"/>
  <c r="E72" i="88"/>
  <c r="D72" i="88"/>
  <c r="C72" i="88"/>
  <c r="B72" i="88"/>
  <c r="A72" i="88"/>
  <c r="H71" i="88"/>
  <c r="G71" i="88"/>
  <c r="F71" i="88"/>
  <c r="E71" i="88"/>
  <c r="D71" i="88"/>
  <c r="C71" i="88"/>
  <c r="B71" i="88"/>
  <c r="A71" i="88"/>
  <c r="H70" i="88"/>
  <c r="G70" i="88"/>
  <c r="F70" i="88"/>
  <c r="E70" i="88"/>
  <c r="D70" i="88"/>
  <c r="C70" i="88"/>
  <c r="B70" i="88"/>
  <c r="A70" i="88"/>
  <c r="H69" i="88"/>
  <c r="G69" i="88"/>
  <c r="F69" i="88"/>
  <c r="E69" i="88"/>
  <c r="D69" i="88"/>
  <c r="C69" i="88"/>
  <c r="B69" i="88"/>
  <c r="A69" i="88"/>
  <c r="H68" i="88"/>
  <c r="G68" i="88"/>
  <c r="F68" i="88"/>
  <c r="E68" i="88"/>
  <c r="D68" i="88"/>
  <c r="C68" i="88"/>
  <c r="B68" i="88"/>
  <c r="A68" i="88"/>
  <c r="I15" i="88"/>
  <c r="I14" i="88"/>
  <c r="J10" i="88"/>
  <c r="M10" i="88"/>
  <c r="N10" i="88" s="1"/>
  <c r="N11" i="88" s="1"/>
  <c r="J71" i="3"/>
  <c r="I17" i="86"/>
  <c r="I16" i="86"/>
  <c r="I15" i="86"/>
  <c r="I18" i="86" s="1"/>
  <c r="K70" i="3" s="1"/>
  <c r="H70" i="3" s="1"/>
  <c r="N70" i="3" s="1"/>
  <c r="I14" i="86"/>
  <c r="J10" i="86"/>
  <c r="M10" i="86" s="1"/>
  <c r="N10" i="86" s="1"/>
  <c r="N11" i="86"/>
  <c r="J70" i="3"/>
  <c r="I17" i="84"/>
  <c r="I16" i="84"/>
  <c r="I15" i="84"/>
  <c r="I14" i="84"/>
  <c r="I18" i="84" s="1"/>
  <c r="K69" i="3" s="1"/>
  <c r="J10" i="84"/>
  <c r="M10" i="84" s="1"/>
  <c r="N10" i="84" s="1"/>
  <c r="N11" i="84" s="1"/>
  <c r="I15" i="83"/>
  <c r="I14" i="83"/>
  <c r="I16" i="83" s="1"/>
  <c r="K68" i="3" s="1"/>
  <c r="J10" i="83"/>
  <c r="M10" i="83" s="1"/>
  <c r="N10" i="83" s="1"/>
  <c r="N11" i="83"/>
  <c r="J68" i="3" s="1"/>
  <c r="H68" i="3" s="1"/>
  <c r="N68" i="3" s="1"/>
  <c r="I15" i="82"/>
  <c r="I14" i="82"/>
  <c r="I16" i="82" s="1"/>
  <c r="M10" i="82"/>
  <c r="N10" i="82"/>
  <c r="N11" i="82" s="1"/>
  <c r="J67" i="3" s="1"/>
  <c r="I22" i="81"/>
  <c r="I23" i="81"/>
  <c r="M66" i="3"/>
  <c r="I17" i="81"/>
  <c r="I16" i="81"/>
  <c r="I15" i="81"/>
  <c r="I18" i="81" s="1"/>
  <c r="K66" i="3" s="1"/>
  <c r="I14" i="81"/>
  <c r="M10" i="81"/>
  <c r="N10" i="81"/>
  <c r="N11" i="81"/>
  <c r="N1" i="81" s="1"/>
  <c r="J66" i="3"/>
  <c r="I15" i="80"/>
  <c r="I14" i="80"/>
  <c r="J10" i="80"/>
  <c r="M10" i="80" s="1"/>
  <c r="N10" i="80" s="1"/>
  <c r="N11" i="80" s="1"/>
  <c r="H221" i="79"/>
  <c r="G221" i="79"/>
  <c r="F221" i="79"/>
  <c r="E221" i="79"/>
  <c r="D221" i="79"/>
  <c r="C221" i="79"/>
  <c r="B221" i="79"/>
  <c r="A221" i="79"/>
  <c r="H220" i="79"/>
  <c r="G220" i="79"/>
  <c r="F220" i="79"/>
  <c r="E220" i="79"/>
  <c r="D220" i="79"/>
  <c r="C220" i="79"/>
  <c r="B220" i="79"/>
  <c r="A220" i="79"/>
  <c r="H219" i="79"/>
  <c r="G219" i="79"/>
  <c r="F219" i="79"/>
  <c r="E219" i="79"/>
  <c r="D219" i="79"/>
  <c r="C219" i="79"/>
  <c r="B219" i="79"/>
  <c r="A219" i="79"/>
  <c r="H218" i="79"/>
  <c r="G218" i="79"/>
  <c r="F218" i="79"/>
  <c r="E218" i="79"/>
  <c r="D218" i="79"/>
  <c r="C218" i="79"/>
  <c r="B218" i="79"/>
  <c r="A218" i="79"/>
  <c r="H217" i="79"/>
  <c r="G217" i="79"/>
  <c r="F217" i="79"/>
  <c r="E217" i="79"/>
  <c r="D217" i="79"/>
  <c r="C217" i="79"/>
  <c r="B217" i="79"/>
  <c r="A217" i="79"/>
  <c r="H216" i="79"/>
  <c r="G216" i="79"/>
  <c r="F216" i="79"/>
  <c r="E216" i="79"/>
  <c r="D216" i="79"/>
  <c r="C216" i="79"/>
  <c r="B216" i="79"/>
  <c r="A216" i="79"/>
  <c r="H215" i="79"/>
  <c r="G215" i="79"/>
  <c r="F215" i="79"/>
  <c r="E215" i="79"/>
  <c r="D215" i="79"/>
  <c r="C215" i="79"/>
  <c r="B215" i="79"/>
  <c r="A215" i="79"/>
  <c r="H214" i="79"/>
  <c r="G214" i="79"/>
  <c r="F214" i="79"/>
  <c r="E214" i="79"/>
  <c r="D214" i="79"/>
  <c r="C214" i="79"/>
  <c r="B214" i="79"/>
  <c r="A214" i="79"/>
  <c r="H213" i="79"/>
  <c r="G213" i="79"/>
  <c r="F213" i="79"/>
  <c r="E213" i="79"/>
  <c r="D213" i="79"/>
  <c r="C213" i="79"/>
  <c r="B213" i="79"/>
  <c r="A213" i="79"/>
  <c r="H212" i="79"/>
  <c r="G212" i="79"/>
  <c r="F212" i="79"/>
  <c r="E212" i="79"/>
  <c r="D212" i="79"/>
  <c r="C212" i="79"/>
  <c r="B212" i="79"/>
  <c r="A212" i="79"/>
  <c r="H211" i="79"/>
  <c r="G211" i="79"/>
  <c r="F211" i="79"/>
  <c r="E211" i="79"/>
  <c r="D211" i="79"/>
  <c r="C211" i="79"/>
  <c r="B211" i="79"/>
  <c r="A211" i="79"/>
  <c r="H210" i="79"/>
  <c r="G210" i="79"/>
  <c r="F210" i="79"/>
  <c r="E210" i="79"/>
  <c r="D210" i="79"/>
  <c r="C210" i="79"/>
  <c r="B210" i="79"/>
  <c r="A210" i="79"/>
  <c r="H209" i="79"/>
  <c r="G209" i="79"/>
  <c r="F209" i="79"/>
  <c r="E209" i="79"/>
  <c r="D209" i="79"/>
  <c r="C209" i="79"/>
  <c r="B209" i="79"/>
  <c r="A209" i="79"/>
  <c r="H208" i="79"/>
  <c r="G208" i="79"/>
  <c r="F208" i="79"/>
  <c r="E208" i="79"/>
  <c r="D208" i="79"/>
  <c r="C208" i="79"/>
  <c r="B208" i="79"/>
  <c r="A208" i="79"/>
  <c r="H207" i="79"/>
  <c r="G207" i="79"/>
  <c r="F207" i="79"/>
  <c r="E207" i="79"/>
  <c r="D207" i="79"/>
  <c r="C207" i="79"/>
  <c r="B207" i="79"/>
  <c r="A207" i="79"/>
  <c r="H206" i="79"/>
  <c r="G206" i="79"/>
  <c r="F206" i="79"/>
  <c r="E206" i="79"/>
  <c r="D206" i="79"/>
  <c r="C206" i="79"/>
  <c r="B206" i="79"/>
  <c r="A206" i="79"/>
  <c r="H205" i="79"/>
  <c r="G205" i="79"/>
  <c r="F205" i="79"/>
  <c r="E205" i="79"/>
  <c r="D205" i="79"/>
  <c r="C205" i="79"/>
  <c r="B205" i="79"/>
  <c r="A205" i="79"/>
  <c r="H204" i="79"/>
  <c r="G204" i="79"/>
  <c r="F204" i="79"/>
  <c r="E204" i="79"/>
  <c r="D204" i="79"/>
  <c r="C204" i="79"/>
  <c r="B204" i="79"/>
  <c r="A204" i="79"/>
  <c r="H203" i="79"/>
  <c r="G203" i="79"/>
  <c r="F203" i="79"/>
  <c r="E203" i="79"/>
  <c r="D203" i="79"/>
  <c r="C203" i="79"/>
  <c r="B203" i="79"/>
  <c r="A203" i="79"/>
  <c r="H202" i="79"/>
  <c r="G202" i="79"/>
  <c r="F202" i="79"/>
  <c r="E202" i="79"/>
  <c r="D202" i="79"/>
  <c r="C202" i="79"/>
  <c r="B202" i="79"/>
  <c r="A202" i="79"/>
  <c r="H201" i="79"/>
  <c r="G201" i="79"/>
  <c r="F201" i="79"/>
  <c r="E201" i="79"/>
  <c r="D201" i="79"/>
  <c r="C201" i="79"/>
  <c r="B201" i="79"/>
  <c r="A201" i="79"/>
  <c r="H200" i="79"/>
  <c r="G200" i="79"/>
  <c r="F200" i="79"/>
  <c r="E200" i="79"/>
  <c r="D200" i="79"/>
  <c r="C200" i="79"/>
  <c r="B200" i="79"/>
  <c r="A200" i="79"/>
  <c r="H199" i="79"/>
  <c r="G199" i="79"/>
  <c r="F199" i="79"/>
  <c r="E199" i="79"/>
  <c r="D199" i="79"/>
  <c r="C199" i="79"/>
  <c r="B199" i="79"/>
  <c r="A199" i="79"/>
  <c r="H198" i="79"/>
  <c r="G198" i="79"/>
  <c r="F198" i="79"/>
  <c r="E198" i="79"/>
  <c r="D198" i="79"/>
  <c r="C198" i="79"/>
  <c r="B198" i="79"/>
  <c r="A198" i="79"/>
  <c r="H197" i="79"/>
  <c r="G197" i="79"/>
  <c r="F197" i="79"/>
  <c r="E197" i="79"/>
  <c r="D197" i="79"/>
  <c r="C197" i="79"/>
  <c r="B197" i="79"/>
  <c r="A197" i="79"/>
  <c r="H196" i="79"/>
  <c r="G196" i="79"/>
  <c r="F196" i="79"/>
  <c r="E196" i="79"/>
  <c r="D196" i="79"/>
  <c r="C196" i="79"/>
  <c r="B196" i="79"/>
  <c r="A196" i="79"/>
  <c r="H195" i="79"/>
  <c r="G195" i="79"/>
  <c r="F195" i="79"/>
  <c r="E195" i="79"/>
  <c r="D195" i="79"/>
  <c r="C195" i="79"/>
  <c r="B195" i="79"/>
  <c r="A195" i="79"/>
  <c r="H194" i="79"/>
  <c r="G194" i="79"/>
  <c r="F194" i="79"/>
  <c r="E194" i="79"/>
  <c r="D194" i="79"/>
  <c r="C194" i="79"/>
  <c r="B194" i="79"/>
  <c r="A194" i="79"/>
  <c r="H193" i="79"/>
  <c r="G193" i="79"/>
  <c r="F193" i="79"/>
  <c r="E193" i="79"/>
  <c r="D193" i="79"/>
  <c r="C193" i="79"/>
  <c r="B193" i="79"/>
  <c r="A193" i="79"/>
  <c r="H192" i="79"/>
  <c r="G192" i="79"/>
  <c r="F192" i="79"/>
  <c r="E192" i="79"/>
  <c r="D192" i="79"/>
  <c r="C192" i="79"/>
  <c r="B192" i="79"/>
  <c r="A192" i="79"/>
  <c r="H191" i="79"/>
  <c r="G191" i="79"/>
  <c r="F191" i="79"/>
  <c r="E191" i="79"/>
  <c r="D191" i="79"/>
  <c r="C191" i="79"/>
  <c r="B191" i="79"/>
  <c r="A191" i="79"/>
  <c r="H190" i="79"/>
  <c r="G190" i="79"/>
  <c r="F190" i="79"/>
  <c r="E190" i="79"/>
  <c r="D190" i="79"/>
  <c r="C190" i="79"/>
  <c r="B190" i="79"/>
  <c r="A190" i="79"/>
  <c r="H189" i="79"/>
  <c r="G189" i="79"/>
  <c r="F189" i="79"/>
  <c r="E189" i="79"/>
  <c r="D189" i="79"/>
  <c r="C189" i="79"/>
  <c r="B189" i="79"/>
  <c r="A189" i="79"/>
  <c r="H188" i="79"/>
  <c r="G188" i="79"/>
  <c r="F188" i="79"/>
  <c r="E188" i="79"/>
  <c r="D188" i="79"/>
  <c r="C188" i="79"/>
  <c r="B188" i="79"/>
  <c r="A188" i="79"/>
  <c r="H187" i="79"/>
  <c r="G187" i="79"/>
  <c r="F187" i="79"/>
  <c r="E187" i="79"/>
  <c r="D187" i="79"/>
  <c r="C187" i="79"/>
  <c r="B187" i="79"/>
  <c r="A187" i="79"/>
  <c r="H186" i="79"/>
  <c r="G186" i="79"/>
  <c r="F186" i="79"/>
  <c r="E186" i="79"/>
  <c r="D186" i="79"/>
  <c r="C186" i="79"/>
  <c r="B186" i="79"/>
  <c r="A186" i="79"/>
  <c r="H185" i="79"/>
  <c r="G185" i="79"/>
  <c r="F185" i="79"/>
  <c r="E185" i="79"/>
  <c r="D185" i="79"/>
  <c r="C185" i="79"/>
  <c r="B185" i="79"/>
  <c r="A185" i="79"/>
  <c r="H184" i="79"/>
  <c r="G184" i="79"/>
  <c r="F184" i="79"/>
  <c r="E184" i="79"/>
  <c r="D184" i="79"/>
  <c r="C184" i="79"/>
  <c r="B184" i="79"/>
  <c r="A184" i="79"/>
  <c r="H183" i="79"/>
  <c r="G183" i="79"/>
  <c r="F183" i="79"/>
  <c r="E183" i="79"/>
  <c r="D183" i="79"/>
  <c r="C183" i="79"/>
  <c r="B183" i="79"/>
  <c r="A183" i="79"/>
  <c r="H182" i="79"/>
  <c r="G182" i="79"/>
  <c r="F182" i="79"/>
  <c r="E182" i="79"/>
  <c r="D182" i="79"/>
  <c r="C182" i="79"/>
  <c r="B182" i="79"/>
  <c r="A182" i="79"/>
  <c r="H181" i="79"/>
  <c r="G181" i="79"/>
  <c r="F181" i="79"/>
  <c r="E181" i="79"/>
  <c r="D181" i="79"/>
  <c r="C181" i="79"/>
  <c r="B181" i="79"/>
  <c r="A181" i="79"/>
  <c r="H180" i="79"/>
  <c r="G180" i="79"/>
  <c r="F180" i="79"/>
  <c r="E180" i="79"/>
  <c r="D180" i="79"/>
  <c r="C180" i="79"/>
  <c r="B180" i="79"/>
  <c r="A180" i="79"/>
  <c r="H179" i="79"/>
  <c r="G179" i="79"/>
  <c r="F179" i="79"/>
  <c r="E179" i="79"/>
  <c r="D179" i="79"/>
  <c r="C179" i="79"/>
  <c r="B179" i="79"/>
  <c r="A179" i="79"/>
  <c r="H178" i="79"/>
  <c r="G178" i="79"/>
  <c r="F178" i="79"/>
  <c r="E178" i="79"/>
  <c r="D178" i="79"/>
  <c r="C178" i="79"/>
  <c r="B178" i="79"/>
  <c r="A178" i="79"/>
  <c r="H177" i="79"/>
  <c r="G177" i="79"/>
  <c r="F177" i="79"/>
  <c r="E177" i="79"/>
  <c r="D177" i="79"/>
  <c r="C177" i="79"/>
  <c r="B177" i="79"/>
  <c r="A177" i="79"/>
  <c r="H176" i="79"/>
  <c r="G176" i="79"/>
  <c r="F176" i="79"/>
  <c r="E176" i="79"/>
  <c r="D176" i="79"/>
  <c r="C176" i="79"/>
  <c r="B176" i="79"/>
  <c r="A176" i="79"/>
  <c r="H175" i="79"/>
  <c r="G175" i="79"/>
  <c r="F175" i="79"/>
  <c r="E175" i="79"/>
  <c r="D175" i="79"/>
  <c r="C175" i="79"/>
  <c r="B175" i="79"/>
  <c r="A175" i="79"/>
  <c r="H174" i="79"/>
  <c r="G174" i="79"/>
  <c r="F174" i="79"/>
  <c r="E174" i="79"/>
  <c r="D174" i="79"/>
  <c r="C174" i="79"/>
  <c r="B174" i="79"/>
  <c r="A174" i="79"/>
  <c r="H173" i="79"/>
  <c r="G173" i="79"/>
  <c r="F173" i="79"/>
  <c r="E173" i="79"/>
  <c r="D173" i="79"/>
  <c r="C173" i="79"/>
  <c r="B173" i="79"/>
  <c r="A173" i="79"/>
  <c r="H172" i="79"/>
  <c r="G172" i="79"/>
  <c r="F172" i="79"/>
  <c r="E172" i="79"/>
  <c r="D172" i="79"/>
  <c r="C172" i="79"/>
  <c r="B172" i="79"/>
  <c r="A172" i="79"/>
  <c r="H171" i="79"/>
  <c r="G171" i="79"/>
  <c r="F171" i="79"/>
  <c r="E171" i="79"/>
  <c r="D171" i="79"/>
  <c r="C171" i="79"/>
  <c r="B171" i="79"/>
  <c r="A171" i="79"/>
  <c r="H170" i="79"/>
  <c r="G170" i="79"/>
  <c r="F170" i="79"/>
  <c r="E170" i="79"/>
  <c r="D170" i="79"/>
  <c r="C170" i="79"/>
  <c r="B170" i="79"/>
  <c r="A170" i="79"/>
  <c r="H169" i="79"/>
  <c r="G169" i="79"/>
  <c r="F169" i="79"/>
  <c r="E169" i="79"/>
  <c r="D169" i="79"/>
  <c r="C169" i="79"/>
  <c r="B169" i="79"/>
  <c r="A169" i="79"/>
  <c r="H168" i="79"/>
  <c r="G168" i="79"/>
  <c r="F168" i="79"/>
  <c r="E168" i="79"/>
  <c r="D168" i="79"/>
  <c r="C168" i="79"/>
  <c r="B168" i="79"/>
  <c r="A168" i="79"/>
  <c r="H167" i="79"/>
  <c r="G167" i="79"/>
  <c r="F167" i="79"/>
  <c r="E167" i="79"/>
  <c r="D167" i="79"/>
  <c r="C167" i="79"/>
  <c r="B167" i="79"/>
  <c r="A167" i="79"/>
  <c r="H166" i="79"/>
  <c r="G166" i="79"/>
  <c r="F166" i="79"/>
  <c r="E166" i="79"/>
  <c r="D166" i="79"/>
  <c r="C166" i="79"/>
  <c r="B166" i="79"/>
  <c r="A166" i="79"/>
  <c r="H165" i="79"/>
  <c r="G165" i="79"/>
  <c r="F165" i="79"/>
  <c r="E165" i="79"/>
  <c r="D165" i="79"/>
  <c r="C165" i="79"/>
  <c r="B165" i="79"/>
  <c r="A165" i="79"/>
  <c r="H164" i="79"/>
  <c r="G164" i="79"/>
  <c r="F164" i="79"/>
  <c r="E164" i="79"/>
  <c r="D164" i="79"/>
  <c r="C164" i="79"/>
  <c r="B164" i="79"/>
  <c r="A164" i="79"/>
  <c r="H163" i="79"/>
  <c r="G163" i="79"/>
  <c r="F163" i="79"/>
  <c r="E163" i="79"/>
  <c r="D163" i="79"/>
  <c r="C163" i="79"/>
  <c r="B163" i="79"/>
  <c r="A163" i="79"/>
  <c r="H162" i="79"/>
  <c r="G162" i="79"/>
  <c r="F162" i="79"/>
  <c r="E162" i="79"/>
  <c r="D162" i="79"/>
  <c r="C162" i="79"/>
  <c r="B162" i="79"/>
  <c r="A162" i="79"/>
  <c r="H161" i="79"/>
  <c r="G161" i="79"/>
  <c r="F161" i="79"/>
  <c r="E161" i="79"/>
  <c r="D161" i="79"/>
  <c r="C161" i="79"/>
  <c r="B161" i="79"/>
  <c r="A161" i="79"/>
  <c r="H160" i="79"/>
  <c r="G160" i="79"/>
  <c r="F160" i="79"/>
  <c r="E160" i="79"/>
  <c r="D160" i="79"/>
  <c r="C160" i="79"/>
  <c r="B160" i="79"/>
  <c r="A160" i="79"/>
  <c r="H159" i="79"/>
  <c r="G159" i="79"/>
  <c r="F159" i="79"/>
  <c r="E159" i="79"/>
  <c r="D159" i="79"/>
  <c r="C159" i="79"/>
  <c r="B159" i="79"/>
  <c r="A159" i="79"/>
  <c r="H158" i="79"/>
  <c r="G158" i="79"/>
  <c r="F158" i="79"/>
  <c r="E158" i="79"/>
  <c r="D158" i="79"/>
  <c r="C158" i="79"/>
  <c r="B158" i="79"/>
  <c r="A158" i="79"/>
  <c r="H157" i="79"/>
  <c r="G157" i="79"/>
  <c r="F157" i="79"/>
  <c r="E157" i="79"/>
  <c r="D157" i="79"/>
  <c r="C157" i="79"/>
  <c r="B157" i="79"/>
  <c r="A157" i="79"/>
  <c r="H156" i="79"/>
  <c r="G156" i="79"/>
  <c r="F156" i="79"/>
  <c r="E156" i="79"/>
  <c r="D156" i="79"/>
  <c r="C156" i="79"/>
  <c r="B156" i="79"/>
  <c r="A156" i="79"/>
  <c r="H155" i="79"/>
  <c r="G155" i="79"/>
  <c r="F155" i="79"/>
  <c r="E155" i="79"/>
  <c r="D155" i="79"/>
  <c r="C155" i="79"/>
  <c r="B155" i="79"/>
  <c r="A155" i="79"/>
  <c r="H154" i="79"/>
  <c r="G154" i="79"/>
  <c r="F154" i="79"/>
  <c r="E154" i="79"/>
  <c r="D154" i="79"/>
  <c r="C154" i="79"/>
  <c r="B154" i="79"/>
  <c r="A154" i="79"/>
  <c r="H153" i="79"/>
  <c r="G153" i="79"/>
  <c r="F153" i="79"/>
  <c r="E153" i="79"/>
  <c r="D153" i="79"/>
  <c r="C153" i="79"/>
  <c r="B153" i="79"/>
  <c r="A153" i="79"/>
  <c r="H152" i="79"/>
  <c r="G152" i="79"/>
  <c r="F152" i="79"/>
  <c r="E152" i="79"/>
  <c r="D152" i="79"/>
  <c r="C152" i="79"/>
  <c r="B152" i="79"/>
  <c r="A152" i="79"/>
  <c r="H151" i="79"/>
  <c r="G151" i="79"/>
  <c r="F151" i="79"/>
  <c r="E151" i="79"/>
  <c r="D151" i="79"/>
  <c r="C151" i="79"/>
  <c r="B151" i="79"/>
  <c r="A151" i="79"/>
  <c r="H150" i="79"/>
  <c r="G150" i="79"/>
  <c r="F150" i="79"/>
  <c r="E150" i="79"/>
  <c r="D150" i="79"/>
  <c r="C150" i="79"/>
  <c r="B150" i="79"/>
  <c r="A150" i="79"/>
  <c r="H149" i="79"/>
  <c r="G149" i="79"/>
  <c r="F149" i="79"/>
  <c r="E149" i="79"/>
  <c r="D149" i="79"/>
  <c r="C149" i="79"/>
  <c r="B149" i="79"/>
  <c r="A149" i="79"/>
  <c r="H148" i="79"/>
  <c r="G148" i="79"/>
  <c r="F148" i="79"/>
  <c r="E148" i="79"/>
  <c r="D148" i="79"/>
  <c r="C148" i="79"/>
  <c r="B148" i="79"/>
  <c r="A148" i="79"/>
  <c r="H147" i="79"/>
  <c r="G147" i="79"/>
  <c r="F147" i="79"/>
  <c r="E147" i="79"/>
  <c r="D147" i="79"/>
  <c r="C147" i="79"/>
  <c r="B147" i="79"/>
  <c r="A147" i="79"/>
  <c r="H146" i="79"/>
  <c r="G146" i="79"/>
  <c r="F146" i="79"/>
  <c r="E146" i="79"/>
  <c r="D146" i="79"/>
  <c r="C146" i="79"/>
  <c r="B146" i="79"/>
  <c r="A146" i="79"/>
  <c r="H145" i="79"/>
  <c r="G145" i="79"/>
  <c r="F145" i="79"/>
  <c r="E145" i="79"/>
  <c r="D145" i="79"/>
  <c r="C145" i="79"/>
  <c r="B145" i="79"/>
  <c r="A145" i="79"/>
  <c r="H144" i="79"/>
  <c r="G144" i="79"/>
  <c r="F144" i="79"/>
  <c r="E144" i="79"/>
  <c r="D144" i="79"/>
  <c r="C144" i="79"/>
  <c r="B144" i="79"/>
  <c r="A144" i="79"/>
  <c r="H143" i="79"/>
  <c r="G143" i="79"/>
  <c r="F143" i="79"/>
  <c r="E143" i="79"/>
  <c r="D143" i="79"/>
  <c r="C143" i="79"/>
  <c r="B143" i="79"/>
  <c r="A143" i="79"/>
  <c r="H142" i="79"/>
  <c r="G142" i="79"/>
  <c r="F142" i="79"/>
  <c r="E142" i="79"/>
  <c r="D142" i="79"/>
  <c r="C142" i="79"/>
  <c r="B142" i="79"/>
  <c r="A142" i="79"/>
  <c r="H141" i="79"/>
  <c r="G141" i="79"/>
  <c r="F141" i="79"/>
  <c r="E141" i="79"/>
  <c r="D141" i="79"/>
  <c r="C141" i="79"/>
  <c r="B141" i="79"/>
  <c r="A141" i="79"/>
  <c r="H140" i="79"/>
  <c r="G140" i="79"/>
  <c r="F140" i="79"/>
  <c r="E140" i="79"/>
  <c r="D140" i="79"/>
  <c r="C140" i="79"/>
  <c r="B140" i="79"/>
  <c r="A140" i="79"/>
  <c r="H139" i="79"/>
  <c r="G139" i="79"/>
  <c r="F139" i="79"/>
  <c r="E139" i="79"/>
  <c r="D139" i="79"/>
  <c r="C139" i="79"/>
  <c r="B139" i="79"/>
  <c r="A139" i="79"/>
  <c r="H138" i="79"/>
  <c r="G138" i="79"/>
  <c r="F138" i="79"/>
  <c r="E138" i="79"/>
  <c r="D138" i="79"/>
  <c r="C138" i="79"/>
  <c r="B138" i="79"/>
  <c r="A138" i="79"/>
  <c r="H137" i="79"/>
  <c r="G137" i="79"/>
  <c r="F137" i="79"/>
  <c r="E137" i="79"/>
  <c r="D137" i="79"/>
  <c r="C137" i="79"/>
  <c r="B137" i="79"/>
  <c r="A137" i="79"/>
  <c r="H136" i="79"/>
  <c r="G136" i="79"/>
  <c r="F136" i="79"/>
  <c r="E136" i="79"/>
  <c r="D136" i="79"/>
  <c r="C136" i="79"/>
  <c r="B136" i="79"/>
  <c r="A136" i="79"/>
  <c r="H135" i="79"/>
  <c r="G135" i="79"/>
  <c r="F135" i="79"/>
  <c r="E135" i="79"/>
  <c r="D135" i="79"/>
  <c r="C135" i="79"/>
  <c r="B135" i="79"/>
  <c r="A135" i="79"/>
  <c r="H134" i="79"/>
  <c r="G134" i="79"/>
  <c r="F134" i="79"/>
  <c r="E134" i="79"/>
  <c r="D134" i="79"/>
  <c r="C134" i="79"/>
  <c r="B134" i="79"/>
  <c r="A134" i="79"/>
  <c r="H133" i="79"/>
  <c r="G133" i="79"/>
  <c r="F133" i="79"/>
  <c r="E133" i="79"/>
  <c r="D133" i="79"/>
  <c r="C133" i="79"/>
  <c r="B133" i="79"/>
  <c r="A133" i="79"/>
  <c r="H132" i="79"/>
  <c r="G132" i="79"/>
  <c r="F132" i="79"/>
  <c r="E132" i="79"/>
  <c r="D132" i="79"/>
  <c r="C132" i="79"/>
  <c r="B132" i="79"/>
  <c r="A132" i="79"/>
  <c r="H131" i="79"/>
  <c r="G131" i="79"/>
  <c r="F131" i="79"/>
  <c r="E131" i="79"/>
  <c r="D131" i="79"/>
  <c r="C131" i="79"/>
  <c r="B131" i="79"/>
  <c r="A131" i="79"/>
  <c r="H130" i="79"/>
  <c r="G130" i="79"/>
  <c r="F130" i="79"/>
  <c r="E130" i="79"/>
  <c r="D130" i="79"/>
  <c r="C130" i="79"/>
  <c r="B130" i="79"/>
  <c r="A130" i="79"/>
  <c r="H129" i="79"/>
  <c r="G129" i="79"/>
  <c r="F129" i="79"/>
  <c r="E129" i="79"/>
  <c r="D129" i="79"/>
  <c r="C129" i="79"/>
  <c r="B129" i="79"/>
  <c r="A129" i="79"/>
  <c r="H128" i="79"/>
  <c r="G128" i="79"/>
  <c r="F128" i="79"/>
  <c r="E128" i="79"/>
  <c r="D128" i="79"/>
  <c r="C128" i="79"/>
  <c r="B128" i="79"/>
  <c r="A128" i="79"/>
  <c r="H127" i="79"/>
  <c r="G127" i="79"/>
  <c r="F127" i="79"/>
  <c r="E127" i="79"/>
  <c r="D127" i="79"/>
  <c r="C127" i="79"/>
  <c r="B127" i="79"/>
  <c r="A127" i="79"/>
  <c r="H126" i="79"/>
  <c r="G126" i="79"/>
  <c r="F126" i="79"/>
  <c r="E126" i="79"/>
  <c r="D126" i="79"/>
  <c r="C126" i="79"/>
  <c r="B126" i="79"/>
  <c r="A126" i="79"/>
  <c r="H125" i="79"/>
  <c r="G125" i="79"/>
  <c r="F125" i="79"/>
  <c r="E125" i="79"/>
  <c r="D125" i="79"/>
  <c r="C125" i="79"/>
  <c r="B125" i="79"/>
  <c r="A125" i="79"/>
  <c r="H124" i="79"/>
  <c r="G124" i="79"/>
  <c r="F124" i="79"/>
  <c r="E124" i="79"/>
  <c r="D124" i="79"/>
  <c r="C124" i="79"/>
  <c r="B124" i="79"/>
  <c r="A124" i="79"/>
  <c r="H123" i="79"/>
  <c r="G123" i="79"/>
  <c r="F123" i="79"/>
  <c r="E123" i="79"/>
  <c r="D123" i="79"/>
  <c r="C123" i="79"/>
  <c r="B123" i="79"/>
  <c r="A123" i="79"/>
  <c r="H122" i="79"/>
  <c r="G122" i="79"/>
  <c r="F122" i="79"/>
  <c r="E122" i="79"/>
  <c r="D122" i="79"/>
  <c r="C122" i="79"/>
  <c r="B122" i="79"/>
  <c r="A122" i="79"/>
  <c r="H121" i="79"/>
  <c r="G121" i="79"/>
  <c r="F121" i="79"/>
  <c r="E121" i="79"/>
  <c r="D121" i="79"/>
  <c r="C121" i="79"/>
  <c r="B121" i="79"/>
  <c r="A121" i="79"/>
  <c r="H120" i="79"/>
  <c r="G120" i="79"/>
  <c r="F120" i="79"/>
  <c r="E120" i="79"/>
  <c r="D120" i="79"/>
  <c r="C120" i="79"/>
  <c r="B120" i="79"/>
  <c r="A120" i="79"/>
  <c r="H119" i="79"/>
  <c r="G119" i="79"/>
  <c r="F119" i="79"/>
  <c r="E119" i="79"/>
  <c r="D119" i="79"/>
  <c r="C119" i="79"/>
  <c r="B119" i="79"/>
  <c r="A119" i="79"/>
  <c r="H118" i="79"/>
  <c r="G118" i="79"/>
  <c r="F118" i="79"/>
  <c r="E118" i="79"/>
  <c r="D118" i="79"/>
  <c r="C118" i="79"/>
  <c r="B118" i="79"/>
  <c r="A118" i="79"/>
  <c r="H117" i="79"/>
  <c r="G117" i="79"/>
  <c r="F117" i="79"/>
  <c r="E117" i="79"/>
  <c r="D117" i="79"/>
  <c r="C117" i="79"/>
  <c r="B117" i="79"/>
  <c r="A117" i="79"/>
  <c r="H116" i="79"/>
  <c r="G116" i="79"/>
  <c r="F116" i="79"/>
  <c r="E116" i="79"/>
  <c r="D116" i="79"/>
  <c r="C116" i="79"/>
  <c r="B116" i="79"/>
  <c r="A116" i="79"/>
  <c r="H115" i="79"/>
  <c r="G115" i="79"/>
  <c r="F115" i="79"/>
  <c r="E115" i="79"/>
  <c r="D115" i="79"/>
  <c r="C115" i="79"/>
  <c r="B115" i="79"/>
  <c r="A115" i="79"/>
  <c r="H114" i="79"/>
  <c r="G114" i="79"/>
  <c r="F114" i="79"/>
  <c r="E114" i="79"/>
  <c r="D114" i="79"/>
  <c r="C114" i="79"/>
  <c r="B114" i="79"/>
  <c r="A114" i="79"/>
  <c r="H113" i="79"/>
  <c r="G113" i="79"/>
  <c r="F113" i="79"/>
  <c r="E113" i="79"/>
  <c r="D113" i="79"/>
  <c r="C113" i="79"/>
  <c r="B113" i="79"/>
  <c r="A113" i="79"/>
  <c r="H112" i="79"/>
  <c r="G112" i="79"/>
  <c r="F112" i="79"/>
  <c r="E112" i="79"/>
  <c r="D112" i="79"/>
  <c r="C112" i="79"/>
  <c r="B112" i="79"/>
  <c r="A112" i="79"/>
  <c r="H111" i="79"/>
  <c r="G111" i="79"/>
  <c r="F111" i="79"/>
  <c r="E111" i="79"/>
  <c r="D111" i="79"/>
  <c r="C111" i="79"/>
  <c r="B111" i="79"/>
  <c r="A111" i="79"/>
  <c r="H110" i="79"/>
  <c r="G110" i="79"/>
  <c r="F110" i="79"/>
  <c r="E110" i="79"/>
  <c r="D110" i="79"/>
  <c r="C110" i="79"/>
  <c r="B110" i="79"/>
  <c r="A110" i="79"/>
  <c r="H109" i="79"/>
  <c r="G109" i="79"/>
  <c r="F109" i="79"/>
  <c r="E109" i="79"/>
  <c r="D109" i="79"/>
  <c r="C109" i="79"/>
  <c r="B109" i="79"/>
  <c r="A109" i="79"/>
  <c r="H108" i="79"/>
  <c r="G108" i="79"/>
  <c r="F108" i="79"/>
  <c r="E108" i="79"/>
  <c r="D108" i="79"/>
  <c r="C108" i="79"/>
  <c r="B108" i="79"/>
  <c r="A108" i="79"/>
  <c r="H107" i="79"/>
  <c r="G107" i="79"/>
  <c r="F107" i="79"/>
  <c r="E107" i="79"/>
  <c r="D107" i="79"/>
  <c r="C107" i="79"/>
  <c r="B107" i="79"/>
  <c r="A107" i="79"/>
  <c r="H106" i="79"/>
  <c r="G106" i="79"/>
  <c r="F106" i="79"/>
  <c r="E106" i="79"/>
  <c r="D106" i="79"/>
  <c r="C106" i="79"/>
  <c r="B106" i="79"/>
  <c r="A106" i="79"/>
  <c r="H105" i="79"/>
  <c r="G105" i="79"/>
  <c r="F105" i="79"/>
  <c r="E105" i="79"/>
  <c r="D105" i="79"/>
  <c r="C105" i="79"/>
  <c r="B105" i="79"/>
  <c r="A105" i="79"/>
  <c r="H104" i="79"/>
  <c r="G104" i="79"/>
  <c r="F104" i="79"/>
  <c r="E104" i="79"/>
  <c r="D104" i="79"/>
  <c r="C104" i="79"/>
  <c r="B104" i="79"/>
  <c r="A104" i="79"/>
  <c r="H103" i="79"/>
  <c r="G103" i="79"/>
  <c r="F103" i="79"/>
  <c r="E103" i="79"/>
  <c r="D103" i="79"/>
  <c r="C103" i="79"/>
  <c r="B103" i="79"/>
  <c r="A103" i="79"/>
  <c r="H102" i="79"/>
  <c r="G102" i="79"/>
  <c r="F102" i="79"/>
  <c r="E102" i="79"/>
  <c r="D102" i="79"/>
  <c r="C102" i="79"/>
  <c r="B102" i="79"/>
  <c r="A102" i="79"/>
  <c r="H101" i="79"/>
  <c r="G101" i="79"/>
  <c r="F101" i="79"/>
  <c r="E101" i="79"/>
  <c r="D101" i="79"/>
  <c r="C101" i="79"/>
  <c r="B101" i="79"/>
  <c r="A101" i="79"/>
  <c r="H100" i="79"/>
  <c r="G100" i="79"/>
  <c r="F100" i="79"/>
  <c r="E100" i="79"/>
  <c r="D100" i="79"/>
  <c r="C100" i="79"/>
  <c r="B100" i="79"/>
  <c r="A100" i="79"/>
  <c r="H99" i="79"/>
  <c r="G99" i="79"/>
  <c r="F99" i="79"/>
  <c r="E99" i="79"/>
  <c r="D99" i="79"/>
  <c r="C99" i="79"/>
  <c r="B99" i="79"/>
  <c r="A99" i="79"/>
  <c r="H98" i="79"/>
  <c r="G98" i="79"/>
  <c r="F98" i="79"/>
  <c r="E98" i="79"/>
  <c r="D98" i="79"/>
  <c r="C98" i="79"/>
  <c r="B98" i="79"/>
  <c r="A98" i="79"/>
  <c r="H97" i="79"/>
  <c r="G97" i="79"/>
  <c r="F97" i="79"/>
  <c r="E97" i="79"/>
  <c r="D97" i="79"/>
  <c r="C97" i="79"/>
  <c r="B97" i="79"/>
  <c r="A97" i="79"/>
  <c r="H96" i="79"/>
  <c r="G96" i="79"/>
  <c r="F96" i="79"/>
  <c r="E96" i="79"/>
  <c r="D96" i="79"/>
  <c r="C96" i="79"/>
  <c r="B96" i="79"/>
  <c r="A96" i="79"/>
  <c r="H95" i="79"/>
  <c r="G95" i="79"/>
  <c r="F95" i="79"/>
  <c r="E95" i="79"/>
  <c r="D95" i="79"/>
  <c r="C95" i="79"/>
  <c r="B95" i="79"/>
  <c r="A95" i="79"/>
  <c r="H94" i="79"/>
  <c r="G94" i="79"/>
  <c r="F94" i="79"/>
  <c r="E94" i="79"/>
  <c r="D94" i="79"/>
  <c r="C94" i="79"/>
  <c r="B94" i="79"/>
  <c r="A94" i="79"/>
  <c r="H93" i="79"/>
  <c r="G93" i="79"/>
  <c r="F93" i="79"/>
  <c r="E93" i="79"/>
  <c r="D93" i="79"/>
  <c r="C93" i="79"/>
  <c r="B93" i="79"/>
  <c r="A93" i="79"/>
  <c r="H92" i="79"/>
  <c r="G92" i="79"/>
  <c r="F92" i="79"/>
  <c r="E92" i="79"/>
  <c r="D92" i="79"/>
  <c r="C92" i="79"/>
  <c r="B92" i="79"/>
  <c r="A92" i="79"/>
  <c r="H91" i="79"/>
  <c r="G91" i="79"/>
  <c r="F91" i="79"/>
  <c r="E91" i="79"/>
  <c r="D91" i="79"/>
  <c r="C91" i="79"/>
  <c r="B91" i="79"/>
  <c r="A91" i="79"/>
  <c r="H90" i="79"/>
  <c r="G90" i="79"/>
  <c r="F90" i="79"/>
  <c r="E90" i="79"/>
  <c r="D90" i="79"/>
  <c r="C90" i="79"/>
  <c r="B90" i="79"/>
  <c r="A90" i="79"/>
  <c r="H89" i="79"/>
  <c r="G89" i="79"/>
  <c r="F89" i="79"/>
  <c r="E89" i="79"/>
  <c r="D89" i="79"/>
  <c r="C89" i="79"/>
  <c r="B89" i="79"/>
  <c r="A89" i="79"/>
  <c r="H88" i="79"/>
  <c r="G88" i="79"/>
  <c r="F88" i="79"/>
  <c r="E88" i="79"/>
  <c r="D88" i="79"/>
  <c r="C88" i="79"/>
  <c r="B88" i="79"/>
  <c r="A88" i="79"/>
  <c r="H87" i="79"/>
  <c r="G87" i="79"/>
  <c r="F87" i="79"/>
  <c r="E87" i="79"/>
  <c r="D87" i="79"/>
  <c r="C87" i="79"/>
  <c r="B87" i="79"/>
  <c r="A87" i="79"/>
  <c r="H86" i="79"/>
  <c r="G86" i="79"/>
  <c r="F86" i="79"/>
  <c r="E86" i="79"/>
  <c r="D86" i="79"/>
  <c r="C86" i="79"/>
  <c r="B86" i="79"/>
  <c r="A86" i="79"/>
  <c r="H85" i="79"/>
  <c r="G85" i="79"/>
  <c r="F85" i="79"/>
  <c r="E85" i="79"/>
  <c r="D85" i="79"/>
  <c r="C85" i="79"/>
  <c r="B85" i="79"/>
  <c r="A85" i="79"/>
  <c r="H84" i="79"/>
  <c r="G84" i="79"/>
  <c r="F84" i="79"/>
  <c r="E84" i="79"/>
  <c r="D84" i="79"/>
  <c r="C84" i="79"/>
  <c r="B84" i="79"/>
  <c r="A84" i="79"/>
  <c r="I29" i="79"/>
  <c r="I28" i="79"/>
  <c r="I30" i="79" s="1"/>
  <c r="I24" i="79"/>
  <c r="I23" i="79"/>
  <c r="I22" i="79"/>
  <c r="I21" i="79"/>
  <c r="I20" i="79"/>
  <c r="I19" i="79"/>
  <c r="I18" i="79"/>
  <c r="I17" i="79"/>
  <c r="I16" i="79"/>
  <c r="N12" i="79"/>
  <c r="E11" i="79"/>
  <c r="N11" i="79" s="1"/>
  <c r="E10" i="79"/>
  <c r="N10" i="79" s="1"/>
  <c r="N13" i="79" s="1"/>
  <c r="I56" i="78"/>
  <c r="I57" i="78"/>
  <c r="M63" i="3"/>
  <c r="J52" i="78"/>
  <c r="J51" i="78"/>
  <c r="J50" i="78"/>
  <c r="J49" i="78"/>
  <c r="J48" i="78"/>
  <c r="J47" i="78"/>
  <c r="J46" i="78"/>
  <c r="I42" i="78"/>
  <c r="I41" i="78"/>
  <c r="I40" i="78"/>
  <c r="I39" i="78"/>
  <c r="I38" i="78"/>
  <c r="I37" i="78"/>
  <c r="I36" i="78"/>
  <c r="I35" i="78"/>
  <c r="I34" i="78"/>
  <c r="I33" i="78"/>
  <c r="I32" i="78"/>
  <c r="I31" i="78"/>
  <c r="I30" i="78"/>
  <c r="I43" i="78" s="1"/>
  <c r="K63" i="3" s="1"/>
  <c r="F29" i="78"/>
  <c r="I29" i="78"/>
  <c r="I28" i="78"/>
  <c r="I27" i="78"/>
  <c r="I26" i="78"/>
  <c r="N22" i="78"/>
  <c r="N23" i="78" s="1"/>
  <c r="J63" i="3" s="1"/>
  <c r="I62" i="3"/>
  <c r="I61" i="3"/>
  <c r="F62" i="3"/>
  <c r="F61" i="3"/>
  <c r="F60" i="3"/>
  <c r="F59" i="3"/>
  <c r="J60" i="72"/>
  <c r="I16" i="77"/>
  <c r="I15" i="77"/>
  <c r="I14" i="77"/>
  <c r="J10" i="77"/>
  <c r="N10" i="77"/>
  <c r="N11" i="77"/>
  <c r="J62" i="3" s="1"/>
  <c r="I15" i="76"/>
  <c r="I14" i="76"/>
  <c r="J10" i="76"/>
  <c r="N10" i="76"/>
  <c r="N11" i="76"/>
  <c r="J61" i="3" s="1"/>
  <c r="I15" i="75"/>
  <c r="I14" i="75"/>
  <c r="J10" i="75"/>
  <c r="N10" i="75" s="1"/>
  <c r="N11" i="75"/>
  <c r="J60" i="3" s="1"/>
  <c r="I15" i="74"/>
  <c r="I14" i="74"/>
  <c r="I16" i="74" s="1"/>
  <c r="J10" i="74"/>
  <c r="N10" i="74"/>
  <c r="N11" i="74" s="1"/>
  <c r="J59" i="3" s="1"/>
  <c r="I26" i="73"/>
  <c r="I27" i="73" s="1"/>
  <c r="M58" i="3" s="1"/>
  <c r="I22" i="73"/>
  <c r="I21" i="73"/>
  <c r="I20" i="73"/>
  <c r="F19" i="73"/>
  <c r="I19" i="73"/>
  <c r="I23" i="73" s="1"/>
  <c r="I18" i="73"/>
  <c r="I17" i="73"/>
  <c r="I16" i="73"/>
  <c r="I15" i="73"/>
  <c r="J11" i="73"/>
  <c r="N11" i="73" s="1"/>
  <c r="N12" i="73" s="1"/>
  <c r="J58" i="3" s="1"/>
  <c r="N10" i="73"/>
  <c r="I66" i="72"/>
  <c r="I67" i="72" s="1"/>
  <c r="M57" i="3" s="1"/>
  <c r="J62" i="72"/>
  <c r="J61" i="72"/>
  <c r="J59" i="72"/>
  <c r="J63" i="72" s="1"/>
  <c r="L57" i="3" s="1"/>
  <c r="J58" i="72"/>
  <c r="J57" i="72"/>
  <c r="J56" i="72"/>
  <c r="J55" i="72"/>
  <c r="J54" i="72"/>
  <c r="I50" i="72"/>
  <c r="I49" i="72"/>
  <c r="I48" i="72"/>
  <c r="I47" i="72"/>
  <c r="I46" i="72"/>
  <c r="I45" i="72"/>
  <c r="I44" i="72"/>
  <c r="I43" i="72"/>
  <c r="I42" i="72"/>
  <c r="I41" i="72"/>
  <c r="I40" i="72"/>
  <c r="I51" i="72" s="1"/>
  <c r="K57" i="3" s="1"/>
  <c r="I39" i="72"/>
  <c r="I38" i="72"/>
  <c r="I37" i="72"/>
  <c r="I36" i="72"/>
  <c r="I35" i="72"/>
  <c r="I34" i="72"/>
  <c r="N30" i="72"/>
  <c r="N29" i="72"/>
  <c r="N28" i="72"/>
  <c r="N27" i="72"/>
  <c r="N26" i="72"/>
  <c r="N25" i="72"/>
  <c r="N24" i="72"/>
  <c r="N23" i="72"/>
  <c r="N22" i="72"/>
  <c r="N21" i="72"/>
  <c r="N31" i="72" s="1"/>
  <c r="J57" i="3" s="1"/>
  <c r="N20" i="72"/>
  <c r="N19" i="72"/>
  <c r="N18" i="72"/>
  <c r="N17" i="72"/>
  <c r="I14" i="70"/>
  <c r="I15" i="70"/>
  <c r="K56" i="3"/>
  <c r="J10" i="70"/>
  <c r="N10" i="70" s="1"/>
  <c r="N11" i="70" s="1"/>
  <c r="I16" i="69"/>
  <c r="I15" i="69"/>
  <c r="I14" i="69"/>
  <c r="J10" i="69"/>
  <c r="N10" i="69"/>
  <c r="N11" i="69"/>
  <c r="J55" i="3" s="1"/>
  <c r="J25" i="68"/>
  <c r="J26" i="68" s="1"/>
  <c r="J24" i="68"/>
  <c r="I20" i="68"/>
  <c r="I19" i="68"/>
  <c r="I18" i="68"/>
  <c r="I17" i="68"/>
  <c r="I16" i="68"/>
  <c r="I21" i="68" s="1"/>
  <c r="N1" i="68" s="1"/>
  <c r="N4" i="68" s="1"/>
  <c r="C14" i="59" s="1"/>
  <c r="E14" i="59" s="1"/>
  <c r="I15" i="68"/>
  <c r="I14" i="68"/>
  <c r="J10" i="68"/>
  <c r="N10" i="68" s="1"/>
  <c r="N11" i="68"/>
  <c r="J54" i="3"/>
  <c r="I15" i="66"/>
  <c r="I14" i="66"/>
  <c r="I16" i="66" s="1"/>
  <c r="J10" i="66"/>
  <c r="N10" i="66" s="1"/>
  <c r="N11" i="66" s="1"/>
  <c r="J53" i="3" s="1"/>
  <c r="I15" i="64"/>
  <c r="I14" i="64"/>
  <c r="J10" i="64"/>
  <c r="N10" i="64"/>
  <c r="N11" i="64"/>
  <c r="J52" i="3"/>
  <c r="I19" i="63"/>
  <c r="I18" i="63"/>
  <c r="I17" i="63"/>
  <c r="I16" i="63"/>
  <c r="I15" i="63"/>
  <c r="N11" i="63"/>
  <c r="J10" i="63"/>
  <c r="N10" i="63"/>
  <c r="N12" i="63" s="1"/>
  <c r="J51" i="3" s="1"/>
  <c r="I30" i="62"/>
  <c r="I31" i="62" s="1"/>
  <c r="M50" i="3" s="1"/>
  <c r="J26" i="62"/>
  <c r="J27" i="62"/>
  <c r="L50" i="3" s="1"/>
  <c r="I22" i="62"/>
  <c r="I21" i="62"/>
  <c r="I20" i="62"/>
  <c r="I19" i="62"/>
  <c r="I18" i="62"/>
  <c r="I17" i="62"/>
  <c r="I16" i="62"/>
  <c r="N12" i="62"/>
  <c r="N11" i="62"/>
  <c r="J10" i="62"/>
  <c r="N10" i="62"/>
  <c r="I38" i="60"/>
  <c r="I39" i="60" s="1"/>
  <c r="M49" i="3" s="1"/>
  <c r="J34" i="60"/>
  <c r="J35" i="60"/>
  <c r="L49" i="3" s="1"/>
  <c r="I30" i="60"/>
  <c r="I29" i="60"/>
  <c r="I28" i="60"/>
  <c r="I27" i="60"/>
  <c r="I26" i="60"/>
  <c r="I25" i="60"/>
  <c r="I24" i="60"/>
  <c r="I23" i="60"/>
  <c r="I22" i="60"/>
  <c r="I21" i="60"/>
  <c r="I20" i="60"/>
  <c r="I19" i="60"/>
  <c r="I18" i="60"/>
  <c r="I17" i="60"/>
  <c r="N13" i="60"/>
  <c r="N12" i="60"/>
  <c r="N11" i="60"/>
  <c r="J10" i="60"/>
  <c r="N10" i="60"/>
  <c r="I55" i="59"/>
  <c r="I56" i="59" s="1"/>
  <c r="M48" i="3"/>
  <c r="J51" i="59"/>
  <c r="J50" i="59"/>
  <c r="J52" i="59" s="1"/>
  <c r="J49" i="59"/>
  <c r="J48" i="59"/>
  <c r="J47" i="59"/>
  <c r="J46" i="59"/>
  <c r="I42" i="59"/>
  <c r="I41" i="59"/>
  <c r="I40" i="59"/>
  <c r="I39" i="59"/>
  <c r="I38" i="59"/>
  <c r="I37" i="59"/>
  <c r="I36" i="59"/>
  <c r="I35" i="59"/>
  <c r="I34" i="59"/>
  <c r="I33" i="59"/>
  <c r="I32" i="59"/>
  <c r="I31" i="59"/>
  <c r="I30" i="59"/>
  <c r="I29" i="59"/>
  <c r="I28" i="59"/>
  <c r="I27" i="59"/>
  <c r="I26" i="59"/>
  <c r="I25" i="59"/>
  <c r="J21" i="59"/>
  <c r="N21" i="59" s="1"/>
  <c r="N20" i="59"/>
  <c r="I20" i="58"/>
  <c r="I19" i="58"/>
  <c r="I18" i="58"/>
  <c r="I17" i="58"/>
  <c r="I16" i="58"/>
  <c r="I15" i="58"/>
  <c r="I14" i="58"/>
  <c r="J10" i="58"/>
  <c r="N10" i="58" s="1"/>
  <c r="N11" i="58" s="1"/>
  <c r="J47" i="3"/>
  <c r="H205" i="57"/>
  <c r="G205" i="57"/>
  <c r="F205" i="57"/>
  <c r="E205" i="57"/>
  <c r="D205" i="57"/>
  <c r="C205" i="57"/>
  <c r="B205" i="57"/>
  <c r="A205" i="57"/>
  <c r="H204" i="57"/>
  <c r="G204" i="57"/>
  <c r="F204" i="57"/>
  <c r="E204" i="57"/>
  <c r="D204" i="57"/>
  <c r="C204" i="57"/>
  <c r="B204" i="57"/>
  <c r="A204" i="57"/>
  <c r="H203" i="57"/>
  <c r="G203" i="57"/>
  <c r="F203" i="57"/>
  <c r="E203" i="57"/>
  <c r="D203" i="57"/>
  <c r="C203" i="57"/>
  <c r="B203" i="57"/>
  <c r="A203" i="57"/>
  <c r="H202" i="57"/>
  <c r="G202" i="57"/>
  <c r="F202" i="57"/>
  <c r="E202" i="57"/>
  <c r="D202" i="57"/>
  <c r="C202" i="57"/>
  <c r="B202" i="57"/>
  <c r="A202" i="57"/>
  <c r="H201" i="57"/>
  <c r="G201" i="57"/>
  <c r="F201" i="57"/>
  <c r="E201" i="57"/>
  <c r="D201" i="57"/>
  <c r="C201" i="57"/>
  <c r="B201" i="57"/>
  <c r="A201" i="57"/>
  <c r="H200" i="57"/>
  <c r="G200" i="57"/>
  <c r="F200" i="57"/>
  <c r="E200" i="57"/>
  <c r="D200" i="57"/>
  <c r="C200" i="57"/>
  <c r="B200" i="57"/>
  <c r="A200" i="57"/>
  <c r="H199" i="57"/>
  <c r="G199" i="57"/>
  <c r="F199" i="57"/>
  <c r="E199" i="57"/>
  <c r="D199" i="57"/>
  <c r="C199" i="57"/>
  <c r="B199" i="57"/>
  <c r="A199" i="57"/>
  <c r="H198" i="57"/>
  <c r="G198" i="57"/>
  <c r="F198" i="57"/>
  <c r="E198" i="57"/>
  <c r="D198" i="57"/>
  <c r="C198" i="57"/>
  <c r="B198" i="57"/>
  <c r="A198" i="57"/>
  <c r="H197" i="57"/>
  <c r="G197" i="57"/>
  <c r="F197" i="57"/>
  <c r="E197" i="57"/>
  <c r="D197" i="57"/>
  <c r="C197" i="57"/>
  <c r="B197" i="57"/>
  <c r="A197" i="57"/>
  <c r="H196" i="57"/>
  <c r="G196" i="57"/>
  <c r="F196" i="57"/>
  <c r="E196" i="57"/>
  <c r="D196" i="57"/>
  <c r="C196" i="57"/>
  <c r="B196" i="57"/>
  <c r="A196" i="57"/>
  <c r="H195" i="57"/>
  <c r="G195" i="57"/>
  <c r="F195" i="57"/>
  <c r="E195" i="57"/>
  <c r="D195" i="57"/>
  <c r="C195" i="57"/>
  <c r="B195" i="57"/>
  <c r="A195" i="57"/>
  <c r="H194" i="57"/>
  <c r="G194" i="57"/>
  <c r="F194" i="57"/>
  <c r="E194" i="57"/>
  <c r="D194" i="57"/>
  <c r="C194" i="57"/>
  <c r="B194" i="57"/>
  <c r="A194" i="57"/>
  <c r="H193" i="57"/>
  <c r="G193" i="57"/>
  <c r="F193" i="57"/>
  <c r="E193" i="57"/>
  <c r="D193" i="57"/>
  <c r="C193" i="57"/>
  <c r="B193" i="57"/>
  <c r="A193" i="57"/>
  <c r="H192" i="57"/>
  <c r="G192" i="57"/>
  <c r="F192" i="57"/>
  <c r="E192" i="57"/>
  <c r="D192" i="57"/>
  <c r="C192" i="57"/>
  <c r="B192" i="57"/>
  <c r="A192" i="57"/>
  <c r="H191" i="57"/>
  <c r="G191" i="57"/>
  <c r="F191" i="57"/>
  <c r="E191" i="57"/>
  <c r="D191" i="57"/>
  <c r="C191" i="57"/>
  <c r="B191" i="57"/>
  <c r="A191" i="57"/>
  <c r="H190" i="57"/>
  <c r="G190" i="57"/>
  <c r="F190" i="57"/>
  <c r="E190" i="57"/>
  <c r="D190" i="57"/>
  <c r="C190" i="57"/>
  <c r="B190" i="57"/>
  <c r="A190" i="57"/>
  <c r="H189" i="57"/>
  <c r="G189" i="57"/>
  <c r="F189" i="57"/>
  <c r="E189" i="57"/>
  <c r="D189" i="57"/>
  <c r="C189" i="57"/>
  <c r="B189" i="57"/>
  <c r="A189" i="57"/>
  <c r="H188" i="57"/>
  <c r="G188" i="57"/>
  <c r="F188" i="57"/>
  <c r="E188" i="57"/>
  <c r="D188" i="57"/>
  <c r="C188" i="57"/>
  <c r="B188" i="57"/>
  <c r="A188" i="57"/>
  <c r="H187" i="57"/>
  <c r="G187" i="57"/>
  <c r="F187" i="57"/>
  <c r="E187" i="57"/>
  <c r="D187" i="57"/>
  <c r="C187" i="57"/>
  <c r="B187" i="57"/>
  <c r="A187" i="57"/>
  <c r="H186" i="57"/>
  <c r="G186" i="57"/>
  <c r="F186" i="57"/>
  <c r="E186" i="57"/>
  <c r="D186" i="57"/>
  <c r="C186" i="57"/>
  <c r="B186" i="57"/>
  <c r="A186" i="57"/>
  <c r="H185" i="57"/>
  <c r="G185" i="57"/>
  <c r="F185" i="57"/>
  <c r="E185" i="57"/>
  <c r="D185" i="57"/>
  <c r="C185" i="57"/>
  <c r="B185" i="57"/>
  <c r="A185" i="57"/>
  <c r="H184" i="57"/>
  <c r="G184" i="57"/>
  <c r="F184" i="57"/>
  <c r="E184" i="57"/>
  <c r="D184" i="57"/>
  <c r="C184" i="57"/>
  <c r="B184" i="57"/>
  <c r="A184" i="57"/>
  <c r="H183" i="57"/>
  <c r="G183" i="57"/>
  <c r="F183" i="57"/>
  <c r="E183" i="57"/>
  <c r="D183" i="57"/>
  <c r="C183" i="57"/>
  <c r="B183" i="57"/>
  <c r="A183" i="57"/>
  <c r="H182" i="57"/>
  <c r="G182" i="57"/>
  <c r="F182" i="57"/>
  <c r="E182" i="57"/>
  <c r="D182" i="57"/>
  <c r="C182" i="57"/>
  <c r="B182" i="57"/>
  <c r="A182" i="57"/>
  <c r="H181" i="57"/>
  <c r="G181" i="57"/>
  <c r="F181" i="57"/>
  <c r="E181" i="57"/>
  <c r="D181" i="57"/>
  <c r="C181" i="57"/>
  <c r="B181" i="57"/>
  <c r="A181" i="57"/>
  <c r="H180" i="57"/>
  <c r="G180" i="57"/>
  <c r="F180" i="57"/>
  <c r="E180" i="57"/>
  <c r="D180" i="57"/>
  <c r="C180" i="57"/>
  <c r="B180" i="57"/>
  <c r="A180" i="57"/>
  <c r="H179" i="57"/>
  <c r="G179" i="57"/>
  <c r="F179" i="57"/>
  <c r="E179" i="57"/>
  <c r="D179" i="57"/>
  <c r="C179" i="57"/>
  <c r="B179" i="57"/>
  <c r="A179" i="57"/>
  <c r="H178" i="57"/>
  <c r="G178" i="57"/>
  <c r="F178" i="57"/>
  <c r="E178" i="57"/>
  <c r="D178" i="57"/>
  <c r="C178" i="57"/>
  <c r="B178" i="57"/>
  <c r="A178" i="57"/>
  <c r="H177" i="57"/>
  <c r="G177" i="57"/>
  <c r="F177" i="57"/>
  <c r="E177" i="57"/>
  <c r="D177" i="57"/>
  <c r="C177" i="57"/>
  <c r="B177" i="57"/>
  <c r="A177" i="57"/>
  <c r="H176" i="57"/>
  <c r="G176" i="57"/>
  <c r="F176" i="57"/>
  <c r="E176" i="57"/>
  <c r="D176" i="57"/>
  <c r="C176" i="57"/>
  <c r="B176" i="57"/>
  <c r="A176" i="57"/>
  <c r="H175" i="57"/>
  <c r="G175" i="57"/>
  <c r="F175" i="57"/>
  <c r="E175" i="57"/>
  <c r="D175" i="57"/>
  <c r="C175" i="57"/>
  <c r="B175" i="57"/>
  <c r="A175" i="57"/>
  <c r="H174" i="57"/>
  <c r="G174" i="57"/>
  <c r="F174" i="57"/>
  <c r="E174" i="57"/>
  <c r="D174" i="57"/>
  <c r="C174" i="57"/>
  <c r="B174" i="57"/>
  <c r="A174" i="57"/>
  <c r="H173" i="57"/>
  <c r="G173" i="57"/>
  <c r="F173" i="57"/>
  <c r="E173" i="57"/>
  <c r="D173" i="57"/>
  <c r="C173" i="57"/>
  <c r="B173" i="57"/>
  <c r="A173" i="57"/>
  <c r="H172" i="57"/>
  <c r="G172" i="57"/>
  <c r="F172" i="57"/>
  <c r="E172" i="57"/>
  <c r="D172" i="57"/>
  <c r="C172" i="57"/>
  <c r="B172" i="57"/>
  <c r="A172" i="57"/>
  <c r="H171" i="57"/>
  <c r="G171" i="57"/>
  <c r="F171" i="57"/>
  <c r="E171" i="57"/>
  <c r="D171" i="57"/>
  <c r="C171" i="57"/>
  <c r="B171" i="57"/>
  <c r="A171" i="57"/>
  <c r="H170" i="57"/>
  <c r="G170" i="57"/>
  <c r="F170" i="57"/>
  <c r="E170" i="57"/>
  <c r="D170" i="57"/>
  <c r="C170" i="57"/>
  <c r="B170" i="57"/>
  <c r="A170" i="57"/>
  <c r="H169" i="57"/>
  <c r="G169" i="57"/>
  <c r="F169" i="57"/>
  <c r="E169" i="57"/>
  <c r="D169" i="57"/>
  <c r="C169" i="57"/>
  <c r="B169" i="57"/>
  <c r="A169" i="57"/>
  <c r="H168" i="57"/>
  <c r="G168" i="57"/>
  <c r="F168" i="57"/>
  <c r="E168" i="57"/>
  <c r="D168" i="57"/>
  <c r="C168" i="57"/>
  <c r="B168" i="57"/>
  <c r="A168" i="57"/>
  <c r="H167" i="57"/>
  <c r="G167" i="57"/>
  <c r="F167" i="57"/>
  <c r="E167" i="57"/>
  <c r="D167" i="57"/>
  <c r="C167" i="57"/>
  <c r="B167" i="57"/>
  <c r="A167" i="57"/>
  <c r="H166" i="57"/>
  <c r="G166" i="57"/>
  <c r="F166" i="57"/>
  <c r="E166" i="57"/>
  <c r="D166" i="57"/>
  <c r="C166" i="57"/>
  <c r="B166" i="57"/>
  <c r="A166" i="57"/>
  <c r="H165" i="57"/>
  <c r="G165" i="57"/>
  <c r="F165" i="57"/>
  <c r="E165" i="57"/>
  <c r="D165" i="57"/>
  <c r="C165" i="57"/>
  <c r="B165" i="57"/>
  <c r="A165" i="57"/>
  <c r="H164" i="57"/>
  <c r="G164" i="57"/>
  <c r="F164" i="57"/>
  <c r="E164" i="57"/>
  <c r="D164" i="57"/>
  <c r="C164" i="57"/>
  <c r="B164" i="57"/>
  <c r="A164" i="57"/>
  <c r="H163" i="57"/>
  <c r="G163" i="57"/>
  <c r="F163" i="57"/>
  <c r="E163" i="57"/>
  <c r="D163" i="57"/>
  <c r="C163" i="57"/>
  <c r="B163" i="57"/>
  <c r="A163" i="57"/>
  <c r="H162" i="57"/>
  <c r="G162" i="57"/>
  <c r="F162" i="57"/>
  <c r="E162" i="57"/>
  <c r="D162" i="57"/>
  <c r="C162" i="57"/>
  <c r="B162" i="57"/>
  <c r="A162" i="57"/>
  <c r="H161" i="57"/>
  <c r="G161" i="57"/>
  <c r="F161" i="57"/>
  <c r="E161" i="57"/>
  <c r="D161" i="57"/>
  <c r="C161" i="57"/>
  <c r="B161" i="57"/>
  <c r="A161" i="57"/>
  <c r="H160" i="57"/>
  <c r="G160" i="57"/>
  <c r="F160" i="57"/>
  <c r="E160" i="57"/>
  <c r="D160" i="57"/>
  <c r="C160" i="57"/>
  <c r="B160" i="57"/>
  <c r="A160" i="57"/>
  <c r="H159" i="57"/>
  <c r="G159" i="57"/>
  <c r="F159" i="57"/>
  <c r="E159" i="57"/>
  <c r="D159" i="57"/>
  <c r="C159" i="57"/>
  <c r="B159" i="57"/>
  <c r="A159" i="57"/>
  <c r="H158" i="57"/>
  <c r="G158" i="57"/>
  <c r="F158" i="57"/>
  <c r="E158" i="57"/>
  <c r="D158" i="57"/>
  <c r="C158" i="57"/>
  <c r="B158" i="57"/>
  <c r="A158" i="57"/>
  <c r="H157" i="57"/>
  <c r="G157" i="57"/>
  <c r="F157" i="57"/>
  <c r="E157" i="57"/>
  <c r="D157" i="57"/>
  <c r="C157" i="57"/>
  <c r="B157" i="57"/>
  <c r="A157" i="57"/>
  <c r="H156" i="57"/>
  <c r="G156" i="57"/>
  <c r="F156" i="57"/>
  <c r="E156" i="57"/>
  <c r="D156" i="57"/>
  <c r="C156" i="57"/>
  <c r="B156" i="57"/>
  <c r="A156" i="57"/>
  <c r="H155" i="57"/>
  <c r="G155" i="57"/>
  <c r="F155" i="57"/>
  <c r="E155" i="57"/>
  <c r="D155" i="57"/>
  <c r="C155" i="57"/>
  <c r="B155" i="57"/>
  <c r="A155" i="57"/>
  <c r="H154" i="57"/>
  <c r="G154" i="57"/>
  <c r="F154" i="57"/>
  <c r="E154" i="57"/>
  <c r="D154" i="57"/>
  <c r="C154" i="57"/>
  <c r="B154" i="57"/>
  <c r="A154" i="57"/>
  <c r="H153" i="57"/>
  <c r="G153" i="57"/>
  <c r="F153" i="57"/>
  <c r="E153" i="57"/>
  <c r="D153" i="57"/>
  <c r="C153" i="57"/>
  <c r="B153" i="57"/>
  <c r="A153" i="57"/>
  <c r="H152" i="57"/>
  <c r="G152" i="57"/>
  <c r="F152" i="57"/>
  <c r="E152" i="57"/>
  <c r="D152" i="57"/>
  <c r="C152" i="57"/>
  <c r="B152" i="57"/>
  <c r="A152" i="57"/>
  <c r="H151" i="57"/>
  <c r="G151" i="57"/>
  <c r="F151" i="57"/>
  <c r="E151" i="57"/>
  <c r="D151" i="57"/>
  <c r="C151" i="57"/>
  <c r="B151" i="57"/>
  <c r="A151" i="57"/>
  <c r="H150" i="57"/>
  <c r="G150" i="57"/>
  <c r="F150" i="57"/>
  <c r="E150" i="57"/>
  <c r="D150" i="57"/>
  <c r="C150" i="57"/>
  <c r="B150" i="57"/>
  <c r="A150" i="57"/>
  <c r="H149" i="57"/>
  <c r="G149" i="57"/>
  <c r="F149" i="57"/>
  <c r="E149" i="57"/>
  <c r="D149" i="57"/>
  <c r="C149" i="57"/>
  <c r="B149" i="57"/>
  <c r="A149" i="57"/>
  <c r="H148" i="57"/>
  <c r="G148" i="57"/>
  <c r="F148" i="57"/>
  <c r="E148" i="57"/>
  <c r="D148" i="57"/>
  <c r="C148" i="57"/>
  <c r="B148" i="57"/>
  <c r="A148" i="57"/>
  <c r="H147" i="57"/>
  <c r="G147" i="57"/>
  <c r="F147" i="57"/>
  <c r="E147" i="57"/>
  <c r="D147" i="57"/>
  <c r="C147" i="57"/>
  <c r="B147" i="57"/>
  <c r="A147" i="57"/>
  <c r="H146" i="57"/>
  <c r="G146" i="57"/>
  <c r="F146" i="57"/>
  <c r="E146" i="57"/>
  <c r="D146" i="57"/>
  <c r="C146" i="57"/>
  <c r="B146" i="57"/>
  <c r="A146" i="57"/>
  <c r="H145" i="57"/>
  <c r="G145" i="57"/>
  <c r="F145" i="57"/>
  <c r="E145" i="57"/>
  <c r="D145" i="57"/>
  <c r="C145" i="57"/>
  <c r="B145" i="57"/>
  <c r="A145" i="57"/>
  <c r="H144" i="57"/>
  <c r="G144" i="57"/>
  <c r="F144" i="57"/>
  <c r="E144" i="57"/>
  <c r="D144" i="57"/>
  <c r="C144" i="57"/>
  <c r="B144" i="57"/>
  <c r="A144" i="57"/>
  <c r="H143" i="57"/>
  <c r="G143" i="57"/>
  <c r="F143" i="57"/>
  <c r="E143" i="57"/>
  <c r="D143" i="57"/>
  <c r="C143" i="57"/>
  <c r="B143" i="57"/>
  <c r="A143" i="57"/>
  <c r="H142" i="57"/>
  <c r="G142" i="57"/>
  <c r="F142" i="57"/>
  <c r="E142" i="57"/>
  <c r="D142" i="57"/>
  <c r="C142" i="57"/>
  <c r="B142" i="57"/>
  <c r="A142" i="57"/>
  <c r="H141" i="57"/>
  <c r="G141" i="57"/>
  <c r="F141" i="57"/>
  <c r="E141" i="57"/>
  <c r="D141" i="57"/>
  <c r="C141" i="57"/>
  <c r="B141" i="57"/>
  <c r="A141" i="57"/>
  <c r="H140" i="57"/>
  <c r="G140" i="57"/>
  <c r="F140" i="57"/>
  <c r="E140" i="57"/>
  <c r="D140" i="57"/>
  <c r="C140" i="57"/>
  <c r="B140" i="57"/>
  <c r="A140" i="57"/>
  <c r="H139" i="57"/>
  <c r="G139" i="57"/>
  <c r="F139" i="57"/>
  <c r="E139" i="57"/>
  <c r="D139" i="57"/>
  <c r="C139" i="57"/>
  <c r="B139" i="57"/>
  <c r="A139" i="57"/>
  <c r="H138" i="57"/>
  <c r="G138" i="57"/>
  <c r="F138" i="57"/>
  <c r="E138" i="57"/>
  <c r="D138" i="57"/>
  <c r="C138" i="57"/>
  <c r="B138" i="57"/>
  <c r="A138" i="57"/>
  <c r="H137" i="57"/>
  <c r="G137" i="57"/>
  <c r="F137" i="57"/>
  <c r="E137" i="57"/>
  <c r="D137" i="57"/>
  <c r="C137" i="57"/>
  <c r="B137" i="57"/>
  <c r="A137" i="57"/>
  <c r="H136" i="57"/>
  <c r="G136" i="57"/>
  <c r="F136" i="57"/>
  <c r="E136" i="57"/>
  <c r="D136" i="57"/>
  <c r="C136" i="57"/>
  <c r="B136" i="57"/>
  <c r="A136" i="57"/>
  <c r="H135" i="57"/>
  <c r="G135" i="57"/>
  <c r="F135" i="57"/>
  <c r="E135" i="57"/>
  <c r="D135" i="57"/>
  <c r="C135" i="57"/>
  <c r="B135" i="57"/>
  <c r="A135" i="57"/>
  <c r="H134" i="57"/>
  <c r="G134" i="57"/>
  <c r="F134" i="57"/>
  <c r="E134" i="57"/>
  <c r="D134" i="57"/>
  <c r="C134" i="57"/>
  <c r="B134" i="57"/>
  <c r="A134" i="57"/>
  <c r="H133" i="57"/>
  <c r="G133" i="57"/>
  <c r="F133" i="57"/>
  <c r="E133" i="57"/>
  <c r="D133" i="57"/>
  <c r="C133" i="57"/>
  <c r="B133" i="57"/>
  <c r="A133" i="57"/>
  <c r="H132" i="57"/>
  <c r="G132" i="57"/>
  <c r="F132" i="57"/>
  <c r="E132" i="57"/>
  <c r="D132" i="57"/>
  <c r="C132" i="57"/>
  <c r="B132" i="57"/>
  <c r="A132" i="57"/>
  <c r="H131" i="57"/>
  <c r="G131" i="57"/>
  <c r="F131" i="57"/>
  <c r="E131" i="57"/>
  <c r="D131" i="57"/>
  <c r="C131" i="57"/>
  <c r="B131" i="57"/>
  <c r="A131" i="57"/>
  <c r="H130" i="57"/>
  <c r="G130" i="57"/>
  <c r="F130" i="57"/>
  <c r="E130" i="57"/>
  <c r="D130" i="57"/>
  <c r="C130" i="57"/>
  <c r="B130" i="57"/>
  <c r="A130" i="57"/>
  <c r="H129" i="57"/>
  <c r="G129" i="57"/>
  <c r="F129" i="57"/>
  <c r="E129" i="57"/>
  <c r="D129" i="57"/>
  <c r="C129" i="57"/>
  <c r="B129" i="57"/>
  <c r="A129" i="57"/>
  <c r="H128" i="57"/>
  <c r="G128" i="57"/>
  <c r="F128" i="57"/>
  <c r="E128" i="57"/>
  <c r="D128" i="57"/>
  <c r="C128" i="57"/>
  <c r="B128" i="57"/>
  <c r="A128" i="57"/>
  <c r="H127" i="57"/>
  <c r="G127" i="57"/>
  <c r="F127" i="57"/>
  <c r="E127" i="57"/>
  <c r="D127" i="57"/>
  <c r="C127" i="57"/>
  <c r="B127" i="57"/>
  <c r="A127" i="57"/>
  <c r="H126" i="57"/>
  <c r="G126" i="57"/>
  <c r="F126" i="57"/>
  <c r="E126" i="57"/>
  <c r="D126" i="57"/>
  <c r="C126" i="57"/>
  <c r="B126" i="57"/>
  <c r="A126" i="57"/>
  <c r="H125" i="57"/>
  <c r="G125" i="57"/>
  <c r="F125" i="57"/>
  <c r="E125" i="57"/>
  <c r="D125" i="57"/>
  <c r="C125" i="57"/>
  <c r="B125" i="57"/>
  <c r="A125" i="57"/>
  <c r="H124" i="57"/>
  <c r="G124" i="57"/>
  <c r="F124" i="57"/>
  <c r="E124" i="57"/>
  <c r="D124" i="57"/>
  <c r="C124" i="57"/>
  <c r="B124" i="57"/>
  <c r="A124" i="57"/>
  <c r="H123" i="57"/>
  <c r="G123" i="57"/>
  <c r="F123" i="57"/>
  <c r="E123" i="57"/>
  <c r="D123" i="57"/>
  <c r="C123" i="57"/>
  <c r="B123" i="57"/>
  <c r="A123" i="57"/>
  <c r="H122" i="57"/>
  <c r="G122" i="57"/>
  <c r="F122" i="57"/>
  <c r="E122" i="57"/>
  <c r="D122" i="57"/>
  <c r="C122" i="57"/>
  <c r="B122" i="57"/>
  <c r="A122" i="57"/>
  <c r="H121" i="57"/>
  <c r="G121" i="57"/>
  <c r="F121" i="57"/>
  <c r="E121" i="57"/>
  <c r="D121" i="57"/>
  <c r="C121" i="57"/>
  <c r="B121" i="57"/>
  <c r="A121" i="57"/>
  <c r="H120" i="57"/>
  <c r="G120" i="57"/>
  <c r="F120" i="57"/>
  <c r="E120" i="57"/>
  <c r="D120" i="57"/>
  <c r="C120" i="57"/>
  <c r="B120" i="57"/>
  <c r="A120" i="57"/>
  <c r="H119" i="57"/>
  <c r="G119" i="57"/>
  <c r="F119" i="57"/>
  <c r="E119" i="57"/>
  <c r="D119" i="57"/>
  <c r="C119" i="57"/>
  <c r="B119" i="57"/>
  <c r="A119" i="57"/>
  <c r="H118" i="57"/>
  <c r="G118" i="57"/>
  <c r="F118" i="57"/>
  <c r="E118" i="57"/>
  <c r="D118" i="57"/>
  <c r="C118" i="57"/>
  <c r="B118" i="57"/>
  <c r="A118" i="57"/>
  <c r="H117" i="57"/>
  <c r="G117" i="57"/>
  <c r="F117" i="57"/>
  <c r="E117" i="57"/>
  <c r="D117" i="57"/>
  <c r="C117" i="57"/>
  <c r="B117" i="57"/>
  <c r="A117" i="57"/>
  <c r="H116" i="57"/>
  <c r="G116" i="57"/>
  <c r="F116" i="57"/>
  <c r="E116" i="57"/>
  <c r="D116" i="57"/>
  <c r="C116" i="57"/>
  <c r="B116" i="57"/>
  <c r="A116" i="57"/>
  <c r="H115" i="57"/>
  <c r="G115" i="57"/>
  <c r="F115" i="57"/>
  <c r="E115" i="57"/>
  <c r="D115" i="57"/>
  <c r="C115" i="57"/>
  <c r="B115" i="57"/>
  <c r="A115" i="57"/>
  <c r="H114" i="57"/>
  <c r="G114" i="57"/>
  <c r="F114" i="57"/>
  <c r="E114" i="57"/>
  <c r="D114" i="57"/>
  <c r="C114" i="57"/>
  <c r="B114" i="57"/>
  <c r="A114" i="57"/>
  <c r="H113" i="57"/>
  <c r="G113" i="57"/>
  <c r="F113" i="57"/>
  <c r="E113" i="57"/>
  <c r="D113" i="57"/>
  <c r="C113" i="57"/>
  <c r="B113" i="57"/>
  <c r="A113" i="57"/>
  <c r="H112" i="57"/>
  <c r="G112" i="57"/>
  <c r="F112" i="57"/>
  <c r="E112" i="57"/>
  <c r="D112" i="57"/>
  <c r="C112" i="57"/>
  <c r="B112" i="57"/>
  <c r="A112" i="57"/>
  <c r="H111" i="57"/>
  <c r="G111" i="57"/>
  <c r="F111" i="57"/>
  <c r="E111" i="57"/>
  <c r="D111" i="57"/>
  <c r="C111" i="57"/>
  <c r="B111" i="57"/>
  <c r="A111" i="57"/>
  <c r="H110" i="57"/>
  <c r="G110" i="57"/>
  <c r="F110" i="57"/>
  <c r="E110" i="57"/>
  <c r="D110" i="57"/>
  <c r="C110" i="57"/>
  <c r="B110" i="57"/>
  <c r="A110" i="57"/>
  <c r="H109" i="57"/>
  <c r="G109" i="57"/>
  <c r="F109" i="57"/>
  <c r="E109" i="57"/>
  <c r="D109" i="57"/>
  <c r="C109" i="57"/>
  <c r="B109" i="57"/>
  <c r="A109" i="57"/>
  <c r="H108" i="57"/>
  <c r="G108" i="57"/>
  <c r="F108" i="57"/>
  <c r="E108" i="57"/>
  <c r="D108" i="57"/>
  <c r="C108" i="57"/>
  <c r="B108" i="57"/>
  <c r="A108" i="57"/>
  <c r="H107" i="57"/>
  <c r="G107" i="57"/>
  <c r="F107" i="57"/>
  <c r="E107" i="57"/>
  <c r="D107" i="57"/>
  <c r="C107" i="57"/>
  <c r="B107" i="57"/>
  <c r="A107" i="57"/>
  <c r="H106" i="57"/>
  <c r="G106" i="57"/>
  <c r="F106" i="57"/>
  <c r="E106" i="57"/>
  <c r="D106" i="57"/>
  <c r="C106" i="57"/>
  <c r="B106" i="57"/>
  <c r="A106" i="57"/>
  <c r="H105" i="57"/>
  <c r="G105" i="57"/>
  <c r="F105" i="57"/>
  <c r="E105" i="57"/>
  <c r="D105" i="57"/>
  <c r="C105" i="57"/>
  <c r="B105" i="57"/>
  <c r="A105" i="57"/>
  <c r="H104" i="57"/>
  <c r="G104" i="57"/>
  <c r="F104" i="57"/>
  <c r="E104" i="57"/>
  <c r="D104" i="57"/>
  <c r="C104" i="57"/>
  <c r="B104" i="57"/>
  <c r="A104" i="57"/>
  <c r="H103" i="57"/>
  <c r="G103" i="57"/>
  <c r="F103" i="57"/>
  <c r="E103" i="57"/>
  <c r="D103" i="57"/>
  <c r="C103" i="57"/>
  <c r="B103" i="57"/>
  <c r="A103" i="57"/>
  <c r="H102" i="57"/>
  <c r="G102" i="57"/>
  <c r="F102" i="57"/>
  <c r="E102" i="57"/>
  <c r="D102" i="57"/>
  <c r="C102" i="57"/>
  <c r="B102" i="57"/>
  <c r="A102" i="57"/>
  <c r="H101" i="57"/>
  <c r="G101" i="57"/>
  <c r="F101" i="57"/>
  <c r="E101" i="57"/>
  <c r="D101" i="57"/>
  <c r="C101" i="57"/>
  <c r="B101" i="57"/>
  <c r="A101" i="57"/>
  <c r="H100" i="57"/>
  <c r="G100" i="57"/>
  <c r="F100" i="57"/>
  <c r="E100" i="57"/>
  <c r="D100" i="57"/>
  <c r="C100" i="57"/>
  <c r="B100" i="57"/>
  <c r="A100" i="57"/>
  <c r="H99" i="57"/>
  <c r="G99" i="57"/>
  <c r="F99" i="57"/>
  <c r="E99" i="57"/>
  <c r="D99" i="57"/>
  <c r="C99" i="57"/>
  <c r="B99" i="57"/>
  <c r="A99" i="57"/>
  <c r="H98" i="57"/>
  <c r="G98" i="57"/>
  <c r="F98" i="57"/>
  <c r="E98" i="57"/>
  <c r="D98" i="57"/>
  <c r="C98" i="57"/>
  <c r="B98" i="57"/>
  <c r="A98" i="57"/>
  <c r="H97" i="57"/>
  <c r="G97" i="57"/>
  <c r="F97" i="57"/>
  <c r="E97" i="57"/>
  <c r="D97" i="57"/>
  <c r="C97" i="57"/>
  <c r="B97" i="57"/>
  <c r="A97" i="57"/>
  <c r="H96" i="57"/>
  <c r="G96" i="57"/>
  <c r="F96" i="57"/>
  <c r="E96" i="57"/>
  <c r="D96" i="57"/>
  <c r="C96" i="57"/>
  <c r="B96" i="57"/>
  <c r="A96" i="57"/>
  <c r="H95" i="57"/>
  <c r="G95" i="57"/>
  <c r="F95" i="57"/>
  <c r="E95" i="57"/>
  <c r="D95" i="57"/>
  <c r="C95" i="57"/>
  <c r="B95" i="57"/>
  <c r="A95" i="57"/>
  <c r="H94" i="57"/>
  <c r="G94" i="57"/>
  <c r="F94" i="57"/>
  <c r="E94" i="57"/>
  <c r="D94" i="57"/>
  <c r="C94" i="57"/>
  <c r="B94" i="57"/>
  <c r="A94" i="57"/>
  <c r="H93" i="57"/>
  <c r="G93" i="57"/>
  <c r="F93" i="57"/>
  <c r="E93" i="57"/>
  <c r="D93" i="57"/>
  <c r="C93" i="57"/>
  <c r="B93" i="57"/>
  <c r="A93" i="57"/>
  <c r="H92" i="57"/>
  <c r="G92" i="57"/>
  <c r="F92" i="57"/>
  <c r="E92" i="57"/>
  <c r="D92" i="57"/>
  <c r="C92" i="57"/>
  <c r="B92" i="57"/>
  <c r="A92" i="57"/>
  <c r="H91" i="57"/>
  <c r="G91" i="57"/>
  <c r="F91" i="57"/>
  <c r="E91" i="57"/>
  <c r="D91" i="57"/>
  <c r="C91" i="57"/>
  <c r="B91" i="57"/>
  <c r="A91" i="57"/>
  <c r="H90" i="57"/>
  <c r="G90" i="57"/>
  <c r="F90" i="57"/>
  <c r="E90" i="57"/>
  <c r="D90" i="57"/>
  <c r="C90" i="57"/>
  <c r="B90" i="57"/>
  <c r="A90" i="57"/>
  <c r="H89" i="57"/>
  <c r="G89" i="57"/>
  <c r="F89" i="57"/>
  <c r="E89" i="57"/>
  <c r="D89" i="57"/>
  <c r="C89" i="57"/>
  <c r="B89" i="57"/>
  <c r="A89" i="57"/>
  <c r="H88" i="57"/>
  <c r="G88" i="57"/>
  <c r="F88" i="57"/>
  <c r="E88" i="57"/>
  <c r="D88" i="57"/>
  <c r="C88" i="57"/>
  <c r="B88" i="57"/>
  <c r="A88" i="57"/>
  <c r="H87" i="57"/>
  <c r="G87" i="57"/>
  <c r="F87" i="57"/>
  <c r="E87" i="57"/>
  <c r="D87" i="57"/>
  <c r="C87" i="57"/>
  <c r="B87" i="57"/>
  <c r="A87" i="57"/>
  <c r="H86" i="57"/>
  <c r="G86" i="57"/>
  <c r="F86" i="57"/>
  <c r="E86" i="57"/>
  <c r="D86" i="57"/>
  <c r="C86" i="57"/>
  <c r="B86" i="57"/>
  <c r="A86" i="57"/>
  <c r="H85" i="57"/>
  <c r="G85" i="57"/>
  <c r="F85" i="57"/>
  <c r="E85" i="57"/>
  <c r="D85" i="57"/>
  <c r="C85" i="57"/>
  <c r="B85" i="57"/>
  <c r="A85" i="57"/>
  <c r="H84" i="57"/>
  <c r="G84" i="57"/>
  <c r="F84" i="57"/>
  <c r="E84" i="57"/>
  <c r="D84" i="57"/>
  <c r="C84" i="57"/>
  <c r="B84" i="57"/>
  <c r="A84" i="57"/>
  <c r="H83" i="57"/>
  <c r="G83" i="57"/>
  <c r="F83" i="57"/>
  <c r="E83" i="57"/>
  <c r="D83" i="57"/>
  <c r="C83" i="57"/>
  <c r="B83" i="57"/>
  <c r="A83" i="57"/>
  <c r="H82" i="57"/>
  <c r="G82" i="57"/>
  <c r="F82" i="57"/>
  <c r="E82" i="57"/>
  <c r="D82" i="57"/>
  <c r="C82" i="57"/>
  <c r="B82" i="57"/>
  <c r="A82" i="57"/>
  <c r="H81" i="57"/>
  <c r="G81" i="57"/>
  <c r="F81" i="57"/>
  <c r="E81" i="57"/>
  <c r="D81" i="57"/>
  <c r="C81" i="57"/>
  <c r="B81" i="57"/>
  <c r="A81" i="57"/>
  <c r="H80" i="57"/>
  <c r="G80" i="57"/>
  <c r="F80" i="57"/>
  <c r="E80" i="57"/>
  <c r="D80" i="57"/>
  <c r="C80" i="57"/>
  <c r="B80" i="57"/>
  <c r="A80" i="57"/>
  <c r="H79" i="57"/>
  <c r="G79" i="57"/>
  <c r="F79" i="57"/>
  <c r="E79" i="57"/>
  <c r="D79" i="57"/>
  <c r="C79" i="57"/>
  <c r="B79" i="57"/>
  <c r="A79" i="57"/>
  <c r="H78" i="57"/>
  <c r="G78" i="57"/>
  <c r="F78" i="57"/>
  <c r="E78" i="57"/>
  <c r="D78" i="57"/>
  <c r="C78" i="57"/>
  <c r="B78" i="57"/>
  <c r="A78" i="57"/>
  <c r="H77" i="57"/>
  <c r="G77" i="57"/>
  <c r="F77" i="57"/>
  <c r="E77" i="57"/>
  <c r="D77" i="57"/>
  <c r="C77" i="57"/>
  <c r="B77" i="57"/>
  <c r="A77" i="57"/>
  <c r="H76" i="57"/>
  <c r="G76" i="57"/>
  <c r="F76" i="57"/>
  <c r="E76" i="57"/>
  <c r="D76" i="57"/>
  <c r="C76" i="57"/>
  <c r="B76" i="57"/>
  <c r="A76" i="57"/>
  <c r="H75" i="57"/>
  <c r="G75" i="57"/>
  <c r="F75" i="57"/>
  <c r="E75" i="57"/>
  <c r="D75" i="57"/>
  <c r="C75" i="57"/>
  <c r="B75" i="57"/>
  <c r="A75" i="57"/>
  <c r="H74" i="57"/>
  <c r="G74" i="57"/>
  <c r="F74" i="57"/>
  <c r="E74" i="57"/>
  <c r="D74" i="57"/>
  <c r="C74" i="57"/>
  <c r="B74" i="57"/>
  <c r="A74" i="57"/>
  <c r="H73" i="57"/>
  <c r="G73" i="57"/>
  <c r="F73" i="57"/>
  <c r="E73" i="57"/>
  <c r="D73" i="57"/>
  <c r="C73" i="57"/>
  <c r="B73" i="57"/>
  <c r="A73" i="57"/>
  <c r="H72" i="57"/>
  <c r="G72" i="57"/>
  <c r="F72" i="57"/>
  <c r="E72" i="57"/>
  <c r="D72" i="57"/>
  <c r="C72" i="57"/>
  <c r="B72" i="57"/>
  <c r="A72" i="57"/>
  <c r="H71" i="57"/>
  <c r="G71" i="57"/>
  <c r="F71" i="57"/>
  <c r="E71" i="57"/>
  <c r="D71" i="57"/>
  <c r="C71" i="57"/>
  <c r="B71" i="57"/>
  <c r="A71" i="57"/>
  <c r="H70" i="57"/>
  <c r="G70" i="57"/>
  <c r="F70" i="57"/>
  <c r="E70" i="57"/>
  <c r="D70" i="57"/>
  <c r="C70" i="57"/>
  <c r="B70" i="57"/>
  <c r="A70" i="57"/>
  <c r="H69" i="57"/>
  <c r="G69" i="57"/>
  <c r="F69" i="57"/>
  <c r="E69" i="57"/>
  <c r="D69" i="57"/>
  <c r="C69" i="57"/>
  <c r="B69" i="57"/>
  <c r="A69" i="57"/>
  <c r="H68" i="57"/>
  <c r="G68" i="57"/>
  <c r="F68" i="57"/>
  <c r="E68" i="57"/>
  <c r="D68" i="57"/>
  <c r="C68" i="57"/>
  <c r="B68" i="57"/>
  <c r="A68" i="57"/>
  <c r="I15" i="57"/>
  <c r="I16" i="57" s="1"/>
  <c r="I14" i="57"/>
  <c r="J10" i="57"/>
  <c r="N10" i="57"/>
  <c r="N11" i="57"/>
  <c r="J46" i="3" s="1"/>
  <c r="I19" i="56"/>
  <c r="I20" i="56"/>
  <c r="M45" i="3" s="1"/>
  <c r="F15" i="56"/>
  <c r="I15" i="56"/>
  <c r="I14" i="56"/>
  <c r="I16" i="56" s="1"/>
  <c r="K45" i="3" s="1"/>
  <c r="N10" i="56"/>
  <c r="N11" i="56"/>
  <c r="J25" i="55"/>
  <c r="J26" i="55" s="1"/>
  <c r="L44" i="3" s="1"/>
  <c r="I21" i="55"/>
  <c r="I20" i="55"/>
  <c r="I19" i="55"/>
  <c r="I18" i="55"/>
  <c r="I17" i="55"/>
  <c r="I16" i="55"/>
  <c r="N12" i="55"/>
  <c r="N11" i="55"/>
  <c r="J11" i="55"/>
  <c r="N10" i="55"/>
  <c r="J10" i="55"/>
  <c r="I29" i="54"/>
  <c r="I30" i="54" s="1"/>
  <c r="J25" i="54"/>
  <c r="J26" i="54"/>
  <c r="L43" i="3" s="1"/>
  <c r="F20" i="54"/>
  <c r="I20" i="54"/>
  <c r="I19" i="54"/>
  <c r="I18" i="54"/>
  <c r="I17" i="54"/>
  <c r="F16" i="54"/>
  <c r="I16" i="54"/>
  <c r="I15" i="54"/>
  <c r="N11" i="54"/>
  <c r="N10" i="54"/>
  <c r="I22" i="53"/>
  <c r="I23" i="53" s="1"/>
  <c r="M42" i="3" s="1"/>
  <c r="F18" i="53"/>
  <c r="I18" i="53"/>
  <c r="I17" i="53"/>
  <c r="F16" i="53"/>
  <c r="I16" i="53" s="1"/>
  <c r="I15" i="53"/>
  <c r="N11" i="53"/>
  <c r="J10" i="53"/>
  <c r="N10" i="53"/>
  <c r="N12" i="53" s="1"/>
  <c r="J42" i="3" s="1"/>
  <c r="I21" i="52"/>
  <c r="I22" i="52"/>
  <c r="M41" i="3" s="1"/>
  <c r="F17" i="52"/>
  <c r="I17" i="52"/>
  <c r="I16" i="52"/>
  <c r="I15" i="52"/>
  <c r="I14" i="52"/>
  <c r="I18" i="52" s="1"/>
  <c r="K41" i="3" s="1"/>
  <c r="J10" i="52"/>
  <c r="N10" i="52"/>
  <c r="N11" i="52" s="1"/>
  <c r="J41" i="3" s="1"/>
  <c r="I15" i="50"/>
  <c r="I14" i="50"/>
  <c r="J10" i="50"/>
  <c r="N10" i="50" s="1"/>
  <c r="N11" i="50"/>
  <c r="J40" i="3"/>
  <c r="I15" i="48"/>
  <c r="I16" i="48" s="1"/>
  <c r="K39" i="3" s="1"/>
  <c r="I14" i="48"/>
  <c r="J10" i="48"/>
  <c r="N10" i="48"/>
  <c r="N11" i="48" s="1"/>
  <c r="I49" i="47"/>
  <c r="I50" i="47"/>
  <c r="M38" i="3"/>
  <c r="J45" i="47"/>
  <c r="J44" i="47"/>
  <c r="J43" i="47"/>
  <c r="J46" i="47" s="1"/>
  <c r="J42" i="47"/>
  <c r="J41" i="47"/>
  <c r="I37" i="47"/>
  <c r="I36" i="47"/>
  <c r="I35" i="47"/>
  <c r="I34" i="47"/>
  <c r="I33" i="47"/>
  <c r="I32" i="47"/>
  <c r="I31" i="47"/>
  <c r="I30" i="47"/>
  <c r="I29" i="47"/>
  <c r="I28" i="47"/>
  <c r="I27" i="47"/>
  <c r="I38" i="47" s="1"/>
  <c r="K38" i="3" s="1"/>
  <c r="I26" i="47"/>
  <c r="I25" i="47"/>
  <c r="N21" i="47"/>
  <c r="N22" i="47" s="1"/>
  <c r="J38" i="3" s="1"/>
  <c r="J56" i="28"/>
  <c r="J10" i="43"/>
  <c r="N10" i="43"/>
  <c r="N11" i="43" s="1"/>
  <c r="J37" i="3" s="1"/>
  <c r="I14" i="43"/>
  <c r="I15" i="43"/>
  <c r="I16" i="43" s="1"/>
  <c r="J10" i="42"/>
  <c r="N10" i="42" s="1"/>
  <c r="N11" i="42" s="1"/>
  <c r="J36" i="3"/>
  <c r="I14" i="42"/>
  <c r="I16" i="42" s="1"/>
  <c r="I15" i="42"/>
  <c r="J10" i="40"/>
  <c r="N10" i="40"/>
  <c r="N11" i="40"/>
  <c r="J35" i="3" s="1"/>
  <c r="I14" i="40"/>
  <c r="I15" i="40"/>
  <c r="I16" i="40" s="1"/>
  <c r="J10" i="38"/>
  <c r="N10" i="38" s="1"/>
  <c r="N11" i="38" s="1"/>
  <c r="J34" i="3" s="1"/>
  <c r="I14" i="38"/>
  <c r="I15" i="38"/>
  <c r="I16" i="38"/>
  <c r="J10" i="36"/>
  <c r="N10" i="36" s="1"/>
  <c r="N11" i="36" s="1"/>
  <c r="J33" i="3"/>
  <c r="I14" i="36"/>
  <c r="I15" i="36"/>
  <c r="I16" i="36"/>
  <c r="I17" i="36"/>
  <c r="J10" i="34"/>
  <c r="N10" i="34" s="1"/>
  <c r="N11" i="34" s="1"/>
  <c r="J32" i="3" s="1"/>
  <c r="I14" i="34"/>
  <c r="I15" i="34"/>
  <c r="I16" i="34"/>
  <c r="J10" i="32"/>
  <c r="N10" i="32"/>
  <c r="N11" i="32" s="1"/>
  <c r="I14" i="32"/>
  <c r="I15" i="32"/>
  <c r="I17" i="32" s="1"/>
  <c r="K31" i="3" s="1"/>
  <c r="I16" i="32"/>
  <c r="J10" i="30"/>
  <c r="N10" i="30"/>
  <c r="N11" i="30"/>
  <c r="J30" i="3" s="1"/>
  <c r="I14" i="30"/>
  <c r="I15" i="30"/>
  <c r="I16" i="30"/>
  <c r="I17" i="30"/>
  <c r="N10" i="29"/>
  <c r="N11" i="29" s="1"/>
  <c r="J29" i="3" s="1"/>
  <c r="H29" i="3" s="1"/>
  <c r="N21" i="28"/>
  <c r="D22" i="28"/>
  <c r="N22" i="28"/>
  <c r="N23" i="28"/>
  <c r="I27" i="28"/>
  <c r="I28" i="28"/>
  <c r="I29" i="28"/>
  <c r="I30" i="28"/>
  <c r="I31" i="28"/>
  <c r="I32" i="28"/>
  <c r="I33" i="28"/>
  <c r="I34" i="28"/>
  <c r="I35" i="28"/>
  <c r="I36" i="28"/>
  <c r="I37" i="28"/>
  <c r="I38" i="28"/>
  <c r="I39" i="28"/>
  <c r="I40" i="28"/>
  <c r="I41" i="28"/>
  <c r="I42" i="28"/>
  <c r="I43" i="28"/>
  <c r="I44" i="28"/>
  <c r="I45" i="28"/>
  <c r="I46" i="28"/>
  <c r="J50" i="28"/>
  <c r="J51" i="28"/>
  <c r="J52" i="28"/>
  <c r="J53" i="28"/>
  <c r="J54" i="28"/>
  <c r="J55" i="28"/>
  <c r="I60" i="28"/>
  <c r="I61" i="28" s="1"/>
  <c r="M28" i="3"/>
  <c r="E13" i="113"/>
  <c r="N13" i="113" s="1"/>
  <c r="N1" i="29"/>
  <c r="N4" i="29" s="1"/>
  <c r="C9" i="28" s="1"/>
  <c r="E9" i="28" s="1"/>
  <c r="I17" i="116"/>
  <c r="K98" i="3"/>
  <c r="I16" i="90"/>
  <c r="K73" i="3" s="1"/>
  <c r="M64" i="3"/>
  <c r="N10" i="114"/>
  <c r="N12" i="114" s="1"/>
  <c r="L54" i="3"/>
  <c r="N10" i="107"/>
  <c r="I16" i="64"/>
  <c r="K52" i="3" s="1"/>
  <c r="H52" i="3" s="1"/>
  <c r="N52" i="3" s="1"/>
  <c r="J26" i="112"/>
  <c r="L94" i="3"/>
  <c r="N24" i="28"/>
  <c r="J28" i="3" s="1"/>
  <c r="N12" i="54"/>
  <c r="N22" i="109"/>
  <c r="J91" i="3" s="1"/>
  <c r="N13" i="62"/>
  <c r="J50" i="3" s="1"/>
  <c r="I16" i="88"/>
  <c r="L38" i="3"/>
  <c r="N13" i="55"/>
  <c r="J44" i="3" s="1"/>
  <c r="I16" i="80"/>
  <c r="I17" i="117"/>
  <c r="J73" i="3"/>
  <c r="H73" i="3" s="1"/>
  <c r="N73" i="3" s="1"/>
  <c r="E10" i="113"/>
  <c r="N12" i="112"/>
  <c r="J94" i="3"/>
  <c r="J64" i="3"/>
  <c r="N13" i="107"/>
  <c r="N12" i="113"/>
  <c r="I64" i="92"/>
  <c r="K74" i="3" s="1"/>
  <c r="I16" i="76"/>
  <c r="N12" i="107"/>
  <c r="I20" i="112"/>
  <c r="K94" i="3" s="1"/>
  <c r="E11" i="107"/>
  <c r="I17" i="103"/>
  <c r="I16" i="100"/>
  <c r="K82" i="3" s="1"/>
  <c r="I17" i="93"/>
  <c r="K75" i="3" s="1"/>
  <c r="I18" i="95"/>
  <c r="K77" i="3" s="1"/>
  <c r="I18" i="96"/>
  <c r="I18" i="99"/>
  <c r="I18" i="97"/>
  <c r="I16" i="75"/>
  <c r="L48" i="3"/>
  <c r="I20" i="7"/>
  <c r="I21" i="7"/>
  <c r="I22" i="7"/>
  <c r="I23" i="7"/>
  <c r="I24" i="7"/>
  <c r="I25" i="7"/>
  <c r="I19" i="7"/>
  <c r="I15" i="26"/>
  <c r="I14" i="26"/>
  <c r="J10" i="26"/>
  <c r="N10" i="26"/>
  <c r="N11" i="26"/>
  <c r="J25" i="3"/>
  <c r="I16" i="25"/>
  <c r="I15" i="25"/>
  <c r="I17" i="25" s="1"/>
  <c r="N1" i="25" s="1"/>
  <c r="I14" i="25"/>
  <c r="J10" i="25"/>
  <c r="N10" i="25"/>
  <c r="N11" i="25"/>
  <c r="J24" i="3"/>
  <c r="N10" i="24"/>
  <c r="N11" i="24" s="1"/>
  <c r="N1" i="24" s="1"/>
  <c r="N11" i="23"/>
  <c r="N12" i="23"/>
  <c r="I16" i="22"/>
  <c r="I15" i="22"/>
  <c r="I14" i="22"/>
  <c r="J10" i="22"/>
  <c r="N10" i="22"/>
  <c r="N11" i="22" s="1"/>
  <c r="N1" i="22" s="1"/>
  <c r="J26" i="3"/>
  <c r="I16" i="21"/>
  <c r="I15" i="21"/>
  <c r="I17" i="21" s="1"/>
  <c r="I14" i="21"/>
  <c r="N11" i="21"/>
  <c r="J21" i="3"/>
  <c r="J10" i="21"/>
  <c r="I16" i="20"/>
  <c r="I15" i="20"/>
  <c r="I14" i="20"/>
  <c r="I17" i="20" s="1"/>
  <c r="N11" i="20"/>
  <c r="J10" i="20"/>
  <c r="I77" i="19"/>
  <c r="I78" i="19"/>
  <c r="M19" i="3" s="1"/>
  <c r="J73" i="19"/>
  <c r="J72" i="19"/>
  <c r="J71" i="19"/>
  <c r="J70" i="19"/>
  <c r="J74" i="19" s="1"/>
  <c r="L19" i="3" s="1"/>
  <c r="J69" i="19"/>
  <c r="J68" i="19"/>
  <c r="J67" i="19"/>
  <c r="J66" i="19"/>
  <c r="F59" i="19"/>
  <c r="I59" i="19"/>
  <c r="I58" i="19"/>
  <c r="I57" i="19"/>
  <c r="I56" i="19"/>
  <c r="I55" i="19"/>
  <c r="I54" i="19"/>
  <c r="I53" i="19"/>
  <c r="I52" i="19"/>
  <c r="I51" i="19"/>
  <c r="I50" i="19"/>
  <c r="I49" i="19"/>
  <c r="I48" i="19"/>
  <c r="I47" i="19"/>
  <c r="I46" i="19"/>
  <c r="I45" i="19"/>
  <c r="I44" i="19"/>
  <c r="I43" i="19"/>
  <c r="I42" i="19"/>
  <c r="I41" i="19"/>
  <c r="I60" i="19" s="1"/>
  <c r="I40" i="19"/>
  <c r="I39" i="19"/>
  <c r="I38" i="19"/>
  <c r="I37" i="19"/>
  <c r="I36" i="19"/>
  <c r="I35" i="19"/>
  <c r="N31" i="19"/>
  <c r="N30" i="19"/>
  <c r="N29" i="19"/>
  <c r="N28" i="19"/>
  <c r="N27" i="19"/>
  <c r="N26" i="19"/>
  <c r="N25" i="19"/>
  <c r="N24" i="19"/>
  <c r="N23" i="19"/>
  <c r="N22" i="19"/>
  <c r="N32" i="19" s="1"/>
  <c r="J19" i="3" s="1"/>
  <c r="N21" i="19"/>
  <c r="N20" i="19"/>
  <c r="N19" i="19"/>
  <c r="I15" i="18"/>
  <c r="J10" i="18"/>
  <c r="N10" i="18"/>
  <c r="N11" i="18"/>
  <c r="J18" i="3"/>
  <c r="J10" i="17"/>
  <c r="N10" i="17"/>
  <c r="N11" i="17"/>
  <c r="N11" i="16"/>
  <c r="I15" i="15"/>
  <c r="I16" i="15" s="1"/>
  <c r="K15" i="3" s="1"/>
  <c r="J10" i="15"/>
  <c r="M10" i="15"/>
  <c r="N10" i="15"/>
  <c r="N11" i="15" s="1"/>
  <c r="J15" i="3" s="1"/>
  <c r="I15" i="14"/>
  <c r="J10" i="14"/>
  <c r="M10" i="14"/>
  <c r="N10" i="14"/>
  <c r="N11" i="14"/>
  <c r="J14" i="3"/>
  <c r="J33" i="13"/>
  <c r="J32" i="13"/>
  <c r="J31" i="13"/>
  <c r="J30" i="13"/>
  <c r="J29" i="13"/>
  <c r="J34" i="13" s="1"/>
  <c r="I25" i="13"/>
  <c r="I24" i="13"/>
  <c r="I23" i="13"/>
  <c r="I26" i="13" s="1"/>
  <c r="K13" i="3" s="1"/>
  <c r="I22" i="13"/>
  <c r="I21" i="13"/>
  <c r="I20" i="13"/>
  <c r="I19" i="13"/>
  <c r="I18" i="13"/>
  <c r="I15" i="12"/>
  <c r="J10" i="12"/>
  <c r="N10" i="12"/>
  <c r="N11" i="12" s="1"/>
  <c r="J12" i="3" s="1"/>
  <c r="J10" i="11"/>
  <c r="N10" i="11" s="1"/>
  <c r="N11" i="11"/>
  <c r="N1" i="11" s="1"/>
  <c r="N11" i="10"/>
  <c r="J10" i="3" s="1"/>
  <c r="H10" i="3" s="1"/>
  <c r="N10" i="3" s="1"/>
  <c r="I15" i="9"/>
  <c r="J10" i="9"/>
  <c r="M10" i="9" s="1"/>
  <c r="N10" i="9" s="1"/>
  <c r="N11" i="9" s="1"/>
  <c r="J9" i="3" s="1"/>
  <c r="I15" i="8"/>
  <c r="J10" i="8"/>
  <c r="M10" i="8"/>
  <c r="N10" i="8"/>
  <c r="N11" i="8"/>
  <c r="J8" i="3"/>
  <c r="J33" i="7"/>
  <c r="J32" i="7"/>
  <c r="J31" i="7"/>
  <c r="J30" i="7"/>
  <c r="J29" i="7"/>
  <c r="J34" i="7" s="1"/>
  <c r="L7" i="3" s="1"/>
  <c r="I18" i="7"/>
  <c r="N1" i="10"/>
  <c r="N4" i="10" s="1"/>
  <c r="N1" i="16"/>
  <c r="N4" i="16"/>
  <c r="J16" i="3"/>
  <c r="H16" i="3" s="1"/>
  <c r="N16" i="3" s="1"/>
  <c r="K79" i="3"/>
  <c r="K99" i="3"/>
  <c r="N1" i="88"/>
  <c r="C16" i="78" s="1"/>
  <c r="E16" i="78" s="1"/>
  <c r="K71" i="3"/>
  <c r="H75" i="3"/>
  <c r="N75" i="3" s="1"/>
  <c r="J43" i="3"/>
  <c r="N1" i="98"/>
  <c r="K46" i="3"/>
  <c r="N1" i="99"/>
  <c r="C15" i="92"/>
  <c r="E15" i="92" s="1"/>
  <c r="K81" i="3"/>
  <c r="H81" i="3"/>
  <c r="N81" i="3" s="1"/>
  <c r="N4" i="11"/>
  <c r="N1" i="17"/>
  <c r="C12" i="13"/>
  <c r="E12" i="13"/>
  <c r="J17" i="3"/>
  <c r="H17" i="3" s="1"/>
  <c r="K85" i="3"/>
  <c r="K65" i="3"/>
  <c r="N1" i="102"/>
  <c r="K72" i="3"/>
  <c r="H72" i="3"/>
  <c r="N72" i="3" s="1"/>
  <c r="N1" i="86"/>
  <c r="N14" i="107"/>
  <c r="L13" i="3"/>
  <c r="I17" i="26"/>
  <c r="K25" i="3" s="1"/>
  <c r="I17" i="22"/>
  <c r="K26" i="3" s="1"/>
  <c r="C12" i="7"/>
  <c r="E12" i="7" s="1"/>
  <c r="K19" i="3"/>
  <c r="N4" i="99"/>
  <c r="N1" i="26"/>
  <c r="C15" i="19" s="1"/>
  <c r="E15" i="19" s="1"/>
  <c r="K20" i="3"/>
  <c r="C11" i="13"/>
  <c r="K24" i="3"/>
  <c r="N4" i="17"/>
  <c r="H328" i="3"/>
  <c r="N328" i="3" s="1"/>
  <c r="N321" i="3"/>
  <c r="H316" i="3"/>
  <c r="N316" i="3" s="1"/>
  <c r="H301" i="3"/>
  <c r="N301" i="3" s="1"/>
  <c r="H291" i="3"/>
  <c r="N291" i="3" s="1"/>
  <c r="H270" i="3"/>
  <c r="N270" i="3" s="1"/>
  <c r="H269" i="3"/>
  <c r="N269" i="3" s="1"/>
  <c r="H265" i="3"/>
  <c r="N265" i="3" s="1"/>
  <c r="N175" i="3"/>
  <c r="H123" i="3"/>
  <c r="N123" i="3"/>
  <c r="N29" i="3"/>
  <c r="N17" i="3"/>
  <c r="N4" i="26"/>
  <c r="N1" i="327" l="1"/>
  <c r="K278" i="3"/>
  <c r="H278" i="3" s="1"/>
  <c r="N278" i="3" s="1"/>
  <c r="N1" i="96"/>
  <c r="K78" i="3"/>
  <c r="H78" i="3" s="1"/>
  <c r="N78" i="3" s="1"/>
  <c r="E11" i="113"/>
  <c r="N11" i="113"/>
  <c r="N14" i="113" s="1"/>
  <c r="K263" i="3"/>
  <c r="H263" i="3" s="1"/>
  <c r="N263" i="3" s="1"/>
  <c r="N1" i="312"/>
  <c r="C9" i="165"/>
  <c r="E9" i="165" s="1"/>
  <c r="N4" i="166"/>
  <c r="H298" i="3"/>
  <c r="N298" i="3" s="1"/>
  <c r="J306" i="3"/>
  <c r="H306" i="3" s="1"/>
  <c r="N306" i="3" s="1"/>
  <c r="C15" i="78"/>
  <c r="E15" i="78" s="1"/>
  <c r="N4" i="86"/>
  <c r="I18" i="36"/>
  <c r="K33" i="3" s="1"/>
  <c r="H33" i="3" s="1"/>
  <c r="N33" i="3" s="1"/>
  <c r="J233" i="3"/>
  <c r="N1" i="276"/>
  <c r="J273" i="3"/>
  <c r="H273" i="3" s="1"/>
  <c r="N273" i="3" s="1"/>
  <c r="N1" i="321"/>
  <c r="N1" i="329"/>
  <c r="K280" i="3"/>
  <c r="H280" i="3" s="1"/>
  <c r="N280" i="3" s="1"/>
  <c r="K21" i="3"/>
  <c r="H21" i="3" s="1"/>
  <c r="N21" i="3" s="1"/>
  <c r="N1" i="21"/>
  <c r="N1" i="23"/>
  <c r="J22" i="3"/>
  <c r="H22" i="3" s="1"/>
  <c r="N22" i="3" s="1"/>
  <c r="H56" i="3"/>
  <c r="N56" i="3" s="1"/>
  <c r="N4" i="81"/>
  <c r="C11" i="78"/>
  <c r="E11" i="78" s="1"/>
  <c r="K302" i="3"/>
  <c r="H302" i="3" s="1"/>
  <c r="N302" i="3" s="1"/>
  <c r="N1" i="358"/>
  <c r="N4" i="372"/>
  <c r="C9" i="371"/>
  <c r="E9" i="371" s="1"/>
  <c r="E12" i="371" s="1"/>
  <c r="N1" i="100"/>
  <c r="I26" i="7"/>
  <c r="K7" i="3" s="1"/>
  <c r="H7" i="3" s="1"/>
  <c r="N7" i="3" s="1"/>
  <c r="H19" i="3"/>
  <c r="N19" i="3" s="1"/>
  <c r="J79" i="3"/>
  <c r="H79" i="3" s="1"/>
  <c r="N79" i="3" s="1"/>
  <c r="N1" i="97"/>
  <c r="N1" i="115"/>
  <c r="N4" i="115" s="1"/>
  <c r="C14" i="109" s="1"/>
  <c r="E14" i="109" s="1"/>
  <c r="J97" i="3"/>
  <c r="H97" i="3" s="1"/>
  <c r="N97" i="3" s="1"/>
  <c r="N1" i="135"/>
  <c r="J113" i="3"/>
  <c r="H113" i="3" s="1"/>
  <c r="N113" i="3" s="1"/>
  <c r="N1" i="208"/>
  <c r="N4" i="208" s="1"/>
  <c r="K176" i="3"/>
  <c r="H176" i="3" s="1"/>
  <c r="N176" i="3" s="1"/>
  <c r="N1" i="387"/>
  <c r="J330" i="3"/>
  <c r="H330" i="3" s="1"/>
  <c r="N330" i="3" s="1"/>
  <c r="J57" i="28"/>
  <c r="L28" i="3" s="1"/>
  <c r="N1" i="84"/>
  <c r="J69" i="3"/>
  <c r="H69" i="3" s="1"/>
  <c r="N69" i="3" s="1"/>
  <c r="J76" i="3"/>
  <c r="H76" i="3" s="1"/>
  <c r="N76" i="3" s="1"/>
  <c r="N1" i="94"/>
  <c r="N4" i="142"/>
  <c r="C12" i="137"/>
  <c r="E12" i="137" s="1"/>
  <c r="N35" i="255"/>
  <c r="J214" i="3" s="1"/>
  <c r="H13" i="3"/>
  <c r="N13" i="3" s="1"/>
  <c r="N4" i="22"/>
  <c r="C11" i="19"/>
  <c r="E11" i="19" s="1"/>
  <c r="H77" i="3"/>
  <c r="N77" i="3" s="1"/>
  <c r="H257" i="3"/>
  <c r="N257" i="3" s="1"/>
  <c r="C11" i="7"/>
  <c r="J96" i="3"/>
  <c r="H96" i="3" s="1"/>
  <c r="N96" i="3" s="1"/>
  <c r="N1" i="114"/>
  <c r="N4" i="114" s="1"/>
  <c r="C13" i="109" s="1"/>
  <c r="E13" i="109" s="1"/>
  <c r="J65" i="3"/>
  <c r="H65" i="3" s="1"/>
  <c r="N65" i="3" s="1"/>
  <c r="N1" i="80"/>
  <c r="K67" i="3"/>
  <c r="H67" i="3" s="1"/>
  <c r="N67" i="3" s="1"/>
  <c r="N1" i="82"/>
  <c r="N1" i="95"/>
  <c r="H84" i="3"/>
  <c r="N84" i="3" s="1"/>
  <c r="N1" i="175"/>
  <c r="N4" i="175" s="1"/>
  <c r="K153" i="3"/>
  <c r="H153" i="3" s="1"/>
  <c r="N153" i="3" s="1"/>
  <c r="H224" i="3"/>
  <c r="N224" i="3" s="1"/>
  <c r="A1" i="25"/>
  <c r="H24" i="3"/>
  <c r="N24" i="3" s="1"/>
  <c r="J31" i="3"/>
  <c r="H31" i="3" s="1"/>
  <c r="N31" i="3" s="1"/>
  <c r="N1" i="32"/>
  <c r="C11" i="28" s="1"/>
  <c r="E11" i="28" s="1"/>
  <c r="K103" i="3"/>
  <c r="H103" i="3" s="1"/>
  <c r="N103" i="3" s="1"/>
  <c r="N1" i="121"/>
  <c r="N1" i="139"/>
  <c r="J117" i="3"/>
  <c r="H117" i="3" s="1"/>
  <c r="N117" i="3" s="1"/>
  <c r="N1" i="103"/>
  <c r="N4" i="98"/>
  <c r="C14" i="92"/>
  <c r="E14" i="92" s="1"/>
  <c r="K35" i="3"/>
  <c r="H35" i="3" s="1"/>
  <c r="N35" i="3" s="1"/>
  <c r="N1" i="40"/>
  <c r="C15" i="28" s="1"/>
  <c r="E15" i="28" s="1"/>
  <c r="J56" i="3"/>
  <c r="N1" i="70"/>
  <c r="N4" i="70" s="1"/>
  <c r="C16" i="59" s="1"/>
  <c r="E16" i="59" s="1"/>
  <c r="N1" i="101"/>
  <c r="K83" i="3"/>
  <c r="H83" i="3" s="1"/>
  <c r="N83" i="3" s="1"/>
  <c r="J98" i="3"/>
  <c r="H98" i="3" s="1"/>
  <c r="N98" i="3" s="1"/>
  <c r="N1" i="116"/>
  <c r="N4" i="116" s="1"/>
  <c r="C15" i="109" s="1"/>
  <c r="E15" i="109" s="1"/>
  <c r="N4" i="248"/>
  <c r="C11" i="245"/>
  <c r="E11" i="245" s="1"/>
  <c r="N4" i="386"/>
  <c r="C10" i="384"/>
  <c r="E10" i="384" s="1"/>
  <c r="J20" i="3"/>
  <c r="H20" i="3" s="1"/>
  <c r="N20" i="3" s="1"/>
  <c r="N1" i="20"/>
  <c r="C14" i="19"/>
  <c r="E14" i="19" s="1"/>
  <c r="N4" i="25"/>
  <c r="N1" i="112"/>
  <c r="N4" i="112" s="1"/>
  <c r="C11" i="109" s="1"/>
  <c r="E11" i="109" s="1"/>
  <c r="H240" i="3"/>
  <c r="N240" i="3" s="1"/>
  <c r="N1" i="359"/>
  <c r="K303" i="3"/>
  <c r="H303" i="3" s="1"/>
  <c r="N303" i="3" s="1"/>
  <c r="N1" i="107"/>
  <c r="J89" i="3"/>
  <c r="H89" i="3" s="1"/>
  <c r="N89" i="3" s="1"/>
  <c r="N1" i="117"/>
  <c r="H82" i="3"/>
  <c r="N82" i="3" s="1"/>
  <c r="J116" i="3"/>
  <c r="H116" i="3" s="1"/>
  <c r="N116" i="3" s="1"/>
  <c r="N1" i="138"/>
  <c r="C11" i="302"/>
  <c r="E11" i="302" s="1"/>
  <c r="N4" i="306"/>
  <c r="J197" i="3"/>
  <c r="H197" i="3" s="1"/>
  <c r="N197" i="3" s="1"/>
  <c r="N1" i="236"/>
  <c r="C22" i="222" s="1"/>
  <c r="E22" i="222" s="1"/>
  <c r="N1" i="412"/>
  <c r="J351" i="3"/>
  <c r="H351" i="3" s="1"/>
  <c r="N351" i="3" s="1"/>
  <c r="N4" i="102"/>
  <c r="C18" i="92"/>
  <c r="E18" i="92" s="1"/>
  <c r="N4" i="24"/>
  <c r="C13" i="19"/>
  <c r="E13" i="19" s="1"/>
  <c r="H53" i="3"/>
  <c r="N53" i="3" s="1"/>
  <c r="H161" i="3"/>
  <c r="N161" i="3" s="1"/>
  <c r="N4" i="332"/>
  <c r="C13" i="326"/>
  <c r="E13" i="326" s="1"/>
  <c r="N1" i="66"/>
  <c r="N4" i="66" s="1"/>
  <c r="C13" i="59" s="1"/>
  <c r="E13" i="59" s="1"/>
  <c r="K53" i="3"/>
  <c r="K109" i="3"/>
  <c r="N1" i="130"/>
  <c r="N4" i="346"/>
  <c r="C13" i="339"/>
  <c r="E13" i="339" s="1"/>
  <c r="N4" i="402"/>
  <c r="C10" i="399"/>
  <c r="E10" i="399" s="1"/>
  <c r="N1" i="108"/>
  <c r="H38" i="3"/>
  <c r="N38" i="3" s="1"/>
  <c r="N1" i="64"/>
  <c r="C12" i="59" s="1"/>
  <c r="E12" i="59" s="1"/>
  <c r="H74" i="3"/>
  <c r="N74" i="3" s="1"/>
  <c r="I22" i="111"/>
  <c r="N1" i="111" s="1"/>
  <c r="N4" i="111" s="1"/>
  <c r="N1" i="131"/>
  <c r="N4" i="369"/>
  <c r="C15" i="362"/>
  <c r="E15" i="362" s="1"/>
  <c r="F18" i="119"/>
  <c r="I18" i="119" s="1"/>
  <c r="N10" i="119"/>
  <c r="N14" i="119" s="1"/>
  <c r="N1" i="128"/>
  <c r="K107" i="3"/>
  <c r="H107" i="3" s="1"/>
  <c r="N107" i="3" s="1"/>
  <c r="C9" i="132"/>
  <c r="E9" i="132" s="1"/>
  <c r="N4" i="133"/>
  <c r="J188" i="3"/>
  <c r="H188" i="3" s="1"/>
  <c r="N188" i="3" s="1"/>
  <c r="N1" i="227"/>
  <c r="H174" i="3"/>
  <c r="N174" i="3" s="1"/>
  <c r="E10" i="164"/>
  <c r="N10" i="164"/>
  <c r="N12" i="164" s="1"/>
  <c r="H170" i="3"/>
  <c r="N170" i="3" s="1"/>
  <c r="N1" i="246"/>
  <c r="N4" i="246" s="1"/>
  <c r="K205" i="3"/>
  <c r="H205" i="3" s="1"/>
  <c r="N205" i="3" s="1"/>
  <c r="N22" i="59"/>
  <c r="J48" i="3" s="1"/>
  <c r="H86" i="3"/>
  <c r="N86" i="3" s="1"/>
  <c r="H100" i="3"/>
  <c r="N100" i="3" s="1"/>
  <c r="N4" i="319"/>
  <c r="C11" i="316"/>
  <c r="E11" i="316" s="1"/>
  <c r="E10" i="163"/>
  <c r="N10" i="163"/>
  <c r="N12" i="163" s="1"/>
  <c r="H210" i="3"/>
  <c r="N210" i="3" s="1"/>
  <c r="H268" i="3"/>
  <c r="N268" i="3" s="1"/>
  <c r="J310" i="3"/>
  <c r="H310" i="3" s="1"/>
  <c r="N310" i="3" s="1"/>
  <c r="N1" i="367"/>
  <c r="J339" i="3"/>
  <c r="H339" i="3" s="1"/>
  <c r="N339" i="3" s="1"/>
  <c r="N1" i="397"/>
  <c r="N1" i="90"/>
  <c r="N4" i="90" s="1"/>
  <c r="C18" i="78" s="1"/>
  <c r="E18" i="78" s="1"/>
  <c r="C17" i="78"/>
  <c r="E17" i="78" s="1"/>
  <c r="H94" i="3"/>
  <c r="N94" i="3" s="1"/>
  <c r="N1" i="257"/>
  <c r="K216" i="3"/>
  <c r="H216" i="3" s="1"/>
  <c r="N216" i="3" s="1"/>
  <c r="N10" i="149"/>
  <c r="E10" i="149"/>
  <c r="J141" i="3"/>
  <c r="H141" i="3" s="1"/>
  <c r="N141" i="3" s="1"/>
  <c r="N1" i="172"/>
  <c r="N33" i="255"/>
  <c r="F40" i="255"/>
  <c r="I40" i="255" s="1"/>
  <c r="I67" i="255" s="1"/>
  <c r="K214" i="3" s="1"/>
  <c r="J244" i="3"/>
  <c r="H244" i="3" s="1"/>
  <c r="N244" i="3" s="1"/>
  <c r="N1" i="289"/>
  <c r="N4" i="289" s="1"/>
  <c r="C12" i="285" s="1"/>
  <c r="E12" i="285" s="1"/>
  <c r="J329" i="3"/>
  <c r="H329" i="3" s="1"/>
  <c r="N329" i="3" s="1"/>
  <c r="I16" i="361"/>
  <c r="J23" i="3"/>
  <c r="H23" i="3" s="1"/>
  <c r="N23" i="3" s="1"/>
  <c r="J45" i="3"/>
  <c r="H45" i="3" s="1"/>
  <c r="N45" i="3" s="1"/>
  <c r="N1" i="56"/>
  <c r="N4" i="56" s="1"/>
  <c r="C15" i="47" s="1"/>
  <c r="E15" i="47" s="1"/>
  <c r="I25" i="79"/>
  <c r="H87" i="3"/>
  <c r="N87" i="3" s="1"/>
  <c r="N1" i="186"/>
  <c r="E11" i="149"/>
  <c r="N11" i="149"/>
  <c r="H207" i="3"/>
  <c r="N207" i="3" s="1"/>
  <c r="J215" i="3"/>
  <c r="H215" i="3" s="1"/>
  <c r="N215" i="3" s="1"/>
  <c r="N1" i="256"/>
  <c r="K219" i="3"/>
  <c r="H219" i="3" s="1"/>
  <c r="N219" i="3" s="1"/>
  <c r="N1" i="261"/>
  <c r="J33" i="294"/>
  <c r="L249" i="3" s="1"/>
  <c r="N317" i="3"/>
  <c r="K320" i="3"/>
  <c r="H320" i="3" s="1"/>
  <c r="N320" i="3" s="1"/>
  <c r="N1" i="377"/>
  <c r="J324" i="3"/>
  <c r="H324" i="3" s="1"/>
  <c r="N324" i="3" s="1"/>
  <c r="N1" i="381"/>
  <c r="N1" i="392"/>
  <c r="N4" i="392" s="1"/>
  <c r="K334" i="3"/>
  <c r="H334" i="3" s="1"/>
  <c r="N334" i="3" s="1"/>
  <c r="H366" i="3"/>
  <c r="N366" i="3" s="1"/>
  <c r="L203" i="3"/>
  <c r="F9" i="2" s="1"/>
  <c r="L285" i="3"/>
  <c r="F12" i="2" s="1"/>
  <c r="J53" i="78"/>
  <c r="L63" i="3" s="1"/>
  <c r="H63" i="3" s="1"/>
  <c r="N63" i="3" s="1"/>
  <c r="N1" i="105"/>
  <c r="N1" i="140"/>
  <c r="N4" i="325"/>
  <c r="N1" i="357"/>
  <c r="N10" i="162"/>
  <c r="N12" i="162" s="1"/>
  <c r="N10" i="159"/>
  <c r="N11" i="159" s="1"/>
  <c r="E10" i="159"/>
  <c r="J243" i="3"/>
  <c r="H243" i="3" s="1"/>
  <c r="N243" i="3" s="1"/>
  <c r="N1" i="288"/>
  <c r="N4" i="288" s="1"/>
  <c r="C11" i="285" s="1"/>
  <c r="E11" i="285" s="1"/>
  <c r="I20" i="299"/>
  <c r="C11" i="371"/>
  <c r="E11" i="371" s="1"/>
  <c r="N4" i="374"/>
  <c r="K343" i="3"/>
  <c r="H343" i="3" s="1"/>
  <c r="N343" i="3" s="1"/>
  <c r="I16" i="14"/>
  <c r="N1" i="14" s="1"/>
  <c r="N4" i="88"/>
  <c r="N1" i="83"/>
  <c r="I17" i="38"/>
  <c r="J39" i="3"/>
  <c r="H39" i="3" s="1"/>
  <c r="N39" i="3" s="1"/>
  <c r="N1" i="48"/>
  <c r="I21" i="54"/>
  <c r="K43" i="3" s="1"/>
  <c r="I19" i="110"/>
  <c r="K92" i="3" s="1"/>
  <c r="H92" i="3" s="1"/>
  <c r="N92" i="3" s="1"/>
  <c r="H312" i="3"/>
  <c r="N312" i="3" s="1"/>
  <c r="N1" i="272"/>
  <c r="I31" i="119"/>
  <c r="K101" i="3" s="1"/>
  <c r="H155" i="3"/>
  <c r="N155" i="3" s="1"/>
  <c r="J45" i="285"/>
  <c r="L240" i="3" s="1"/>
  <c r="N12" i="295"/>
  <c r="H299" i="3"/>
  <c r="N299" i="3" s="1"/>
  <c r="N1" i="376"/>
  <c r="J319" i="3"/>
  <c r="H319" i="3" s="1"/>
  <c r="N319" i="3" s="1"/>
  <c r="I16" i="379"/>
  <c r="N1" i="406"/>
  <c r="E10" i="405"/>
  <c r="N10" i="405"/>
  <c r="N11" i="405" s="1"/>
  <c r="N10" i="417"/>
  <c r="N11" i="417" s="1"/>
  <c r="E10" i="417"/>
  <c r="N1" i="171"/>
  <c r="C20" i="165" s="1"/>
  <c r="E20" i="165" s="1"/>
  <c r="K150" i="3"/>
  <c r="H150" i="3" s="1"/>
  <c r="N150" i="3" s="1"/>
  <c r="J239" i="3"/>
  <c r="H239" i="3" s="1"/>
  <c r="N239" i="3" s="1"/>
  <c r="N1" i="284"/>
  <c r="H305" i="3"/>
  <c r="N305" i="3" s="1"/>
  <c r="N1" i="420"/>
  <c r="J359" i="3"/>
  <c r="H359" i="3" s="1"/>
  <c r="N359" i="3" s="1"/>
  <c r="H26" i="3"/>
  <c r="N26" i="3" s="1"/>
  <c r="H25" i="3"/>
  <c r="N25" i="3" s="1"/>
  <c r="H109" i="3"/>
  <c r="C20" i="264"/>
  <c r="E20" i="264" s="1"/>
  <c r="N4" i="277"/>
  <c r="K309" i="3"/>
  <c r="H309" i="3" s="1"/>
  <c r="N309" i="3" s="1"/>
  <c r="N1" i="366"/>
  <c r="I22" i="198"/>
  <c r="N1" i="198" s="1"/>
  <c r="J230" i="3"/>
  <c r="H230" i="3" s="1"/>
  <c r="N230" i="3" s="1"/>
  <c r="N1" i="273"/>
  <c r="J353" i="3"/>
  <c r="H353" i="3" s="1"/>
  <c r="N353" i="3" s="1"/>
  <c r="N1" i="414"/>
  <c r="H66" i="3"/>
  <c r="N66" i="3" s="1"/>
  <c r="N1" i="304"/>
  <c r="N4" i="286"/>
  <c r="C9" i="285"/>
  <c r="E9" i="285" s="1"/>
  <c r="J253" i="3"/>
  <c r="N14" i="153"/>
  <c r="J128" i="3" s="1"/>
  <c r="I27" i="202"/>
  <c r="K170" i="3" s="1"/>
  <c r="J307" i="3"/>
  <c r="H307" i="3" s="1"/>
  <c r="N307" i="3" s="1"/>
  <c r="N1" i="364"/>
  <c r="N4" i="421"/>
  <c r="C10" i="419"/>
  <c r="E10" i="419" s="1"/>
  <c r="H71" i="3"/>
  <c r="N71" i="3" s="1"/>
  <c r="H110" i="3"/>
  <c r="N110" i="3" s="1"/>
  <c r="K198" i="3"/>
  <c r="N4" i="120"/>
  <c r="C10" i="118"/>
  <c r="E10" i="118" s="1"/>
  <c r="H104" i="3"/>
  <c r="N104" i="3" s="1"/>
  <c r="H198" i="3"/>
  <c r="N198" i="3" s="1"/>
  <c r="I28" i="294"/>
  <c r="H275" i="3"/>
  <c r="N275" i="3" s="1"/>
  <c r="H277" i="3"/>
  <c r="N277" i="3" s="1"/>
  <c r="J336" i="3"/>
  <c r="H358" i="3"/>
  <c r="N358" i="3" s="1"/>
  <c r="N1" i="422"/>
  <c r="J361" i="3"/>
  <c r="H361" i="3" s="1"/>
  <c r="N361" i="3" s="1"/>
  <c r="J364" i="3"/>
  <c r="H364" i="3" s="1"/>
  <c r="N364" i="3" s="1"/>
  <c r="N1" i="426"/>
  <c r="I21" i="430"/>
  <c r="N112" i="3"/>
  <c r="N1" i="93"/>
  <c r="I22" i="55"/>
  <c r="N1" i="55" s="1"/>
  <c r="N4" i="55" s="1"/>
  <c r="C14" i="47" s="1"/>
  <c r="E14" i="47" s="1"/>
  <c r="N14" i="60"/>
  <c r="J49" i="3" s="1"/>
  <c r="I24" i="107"/>
  <c r="K89" i="3" s="1"/>
  <c r="K212" i="3"/>
  <c r="H212" i="3" s="1"/>
  <c r="N212" i="3" s="1"/>
  <c r="H121" i="3"/>
  <c r="N121" i="3" s="1"/>
  <c r="C9" i="206"/>
  <c r="E9" i="206" s="1"/>
  <c r="N4" i="207"/>
  <c r="H182" i="3"/>
  <c r="N182" i="3" s="1"/>
  <c r="J190" i="3"/>
  <c r="H190" i="3" s="1"/>
  <c r="N190" i="3" s="1"/>
  <c r="N1" i="229"/>
  <c r="N1" i="330"/>
  <c r="J281" i="3"/>
  <c r="H281" i="3" s="1"/>
  <c r="N281" i="3" s="1"/>
  <c r="J11" i="3"/>
  <c r="H11" i="3" s="1"/>
  <c r="N11" i="3" s="1"/>
  <c r="N1" i="104"/>
  <c r="N4" i="324"/>
  <c r="N1" i="123"/>
  <c r="N1" i="318"/>
  <c r="N258" i="3"/>
  <c r="N1" i="315"/>
  <c r="N1" i="296"/>
  <c r="J105" i="3"/>
  <c r="H120" i="3"/>
  <c r="N120" i="3" s="1"/>
  <c r="I19" i="152"/>
  <c r="J127" i="3" s="1"/>
  <c r="H127" i="3" s="1"/>
  <c r="N127" i="3" s="1"/>
  <c r="J129" i="3"/>
  <c r="H129" i="3" s="1"/>
  <c r="N129" i="3" s="1"/>
  <c r="N1" i="155"/>
  <c r="N4" i="155" s="1"/>
  <c r="C10" i="152" s="1"/>
  <c r="E10" i="152" s="1"/>
  <c r="E11" i="152" s="1"/>
  <c r="N1" i="152" s="1"/>
  <c r="N4" i="152" s="1"/>
  <c r="I24" i="157"/>
  <c r="K130" i="3" s="1"/>
  <c r="H130" i="3" s="1"/>
  <c r="N130" i="3" s="1"/>
  <c r="I18" i="203"/>
  <c r="I18" i="216"/>
  <c r="N1" i="216" s="1"/>
  <c r="I50" i="222"/>
  <c r="K183" i="3" s="1"/>
  <c r="H183" i="3" s="1"/>
  <c r="N183" i="3" s="1"/>
  <c r="I22" i="340"/>
  <c r="I18" i="341"/>
  <c r="J49" i="347"/>
  <c r="L292" i="3" s="1"/>
  <c r="L357" i="3" s="1"/>
  <c r="F13" i="2" s="1"/>
  <c r="N1" i="382"/>
  <c r="J326" i="3"/>
  <c r="N1" i="383"/>
  <c r="J331" i="3"/>
  <c r="N1" i="388"/>
  <c r="I24" i="389"/>
  <c r="K332" i="3" s="1"/>
  <c r="H332" i="3"/>
  <c r="N332" i="3" s="1"/>
  <c r="N1" i="396"/>
  <c r="J338" i="3"/>
  <c r="H338" i="3" s="1"/>
  <c r="N338" i="3" s="1"/>
  <c r="N10" i="404"/>
  <c r="N11" i="404" s="1"/>
  <c r="E10" i="404"/>
  <c r="I17" i="34"/>
  <c r="N1" i="34" s="1"/>
  <c r="I17" i="77"/>
  <c r="N1" i="77" s="1"/>
  <c r="N4" i="77" s="1"/>
  <c r="C13" i="72" s="1"/>
  <c r="E13" i="72" s="1"/>
  <c r="F26" i="119"/>
  <c r="I26" i="119" s="1"/>
  <c r="J42" i="127"/>
  <c r="L106" i="3" s="1"/>
  <c r="H106" i="3" s="1"/>
  <c r="N106" i="3" s="1"/>
  <c r="H233" i="3"/>
  <c r="N233" i="3" s="1"/>
  <c r="N10" i="158"/>
  <c r="N11" i="158" s="1"/>
  <c r="I18" i="159"/>
  <c r="K132" i="3" s="1"/>
  <c r="I17" i="176"/>
  <c r="I21" i="195"/>
  <c r="K163" i="3" s="1"/>
  <c r="H163" i="3" s="1"/>
  <c r="N163" i="3" s="1"/>
  <c r="J181" i="3"/>
  <c r="H181" i="3" s="1"/>
  <c r="N181" i="3" s="1"/>
  <c r="N1" i="218"/>
  <c r="I17" i="228"/>
  <c r="I17" i="234"/>
  <c r="K195" i="3" s="1"/>
  <c r="H195" i="3" s="1"/>
  <c r="N195" i="3" s="1"/>
  <c r="C10" i="326"/>
  <c r="E10" i="326" s="1"/>
  <c r="N4" i="328"/>
  <c r="I22" i="348"/>
  <c r="K293" i="3" s="1"/>
  <c r="H293" i="3" s="1"/>
  <c r="N293" i="3" s="1"/>
  <c r="N1" i="365"/>
  <c r="J308" i="3"/>
  <c r="H308" i="3" s="1"/>
  <c r="N308" i="3" s="1"/>
  <c r="N1" i="390"/>
  <c r="N4" i="390" s="1"/>
  <c r="J333" i="3"/>
  <c r="H333" i="3" s="1"/>
  <c r="N333" i="3" s="1"/>
  <c r="I25" i="394"/>
  <c r="K336" i="3" s="1"/>
  <c r="I30" i="395"/>
  <c r="K337" i="3" s="1"/>
  <c r="H337" i="3" s="1"/>
  <c r="N337" i="3" s="1"/>
  <c r="J340" i="3"/>
  <c r="I34" i="399"/>
  <c r="K341" i="3" s="1"/>
  <c r="J45" i="399"/>
  <c r="L341" i="3" s="1"/>
  <c r="I20" i="404"/>
  <c r="K344" i="3" s="1"/>
  <c r="E10" i="410"/>
  <c r="N10" i="410"/>
  <c r="N11" i="410" s="1"/>
  <c r="J350" i="3" s="1"/>
  <c r="I16" i="413"/>
  <c r="K352" i="3" s="1"/>
  <c r="H352" i="3" s="1"/>
  <c r="N352" i="3" s="1"/>
  <c r="I20" i="129"/>
  <c r="I18" i="138"/>
  <c r="K116" i="3" s="1"/>
  <c r="N1" i="233"/>
  <c r="E12" i="147"/>
  <c r="N1" i="147" s="1"/>
  <c r="N4" i="147" s="1"/>
  <c r="N24" i="223"/>
  <c r="J184" i="3" s="1"/>
  <c r="N25" i="245"/>
  <c r="J204" i="3" s="1"/>
  <c r="H204" i="3" s="1"/>
  <c r="N204" i="3" s="1"/>
  <c r="J75" i="255"/>
  <c r="L214" i="3" s="1"/>
  <c r="L221" i="3" s="1"/>
  <c r="F10" i="2" s="1"/>
  <c r="J218" i="3"/>
  <c r="H218" i="3" s="1"/>
  <c r="N218" i="3" s="1"/>
  <c r="N1" i="260"/>
  <c r="H227" i="3"/>
  <c r="N227" i="3" s="1"/>
  <c r="I45" i="293"/>
  <c r="K248" i="3" s="1"/>
  <c r="H276" i="3"/>
  <c r="N276" i="3" s="1"/>
  <c r="N22" i="339"/>
  <c r="J286" i="3" s="1"/>
  <c r="K313" i="3"/>
  <c r="H313" i="3" s="1"/>
  <c r="N313" i="3" s="1"/>
  <c r="N1" i="370"/>
  <c r="N4" i="370" s="1"/>
  <c r="I19" i="398"/>
  <c r="K340" i="3" s="1"/>
  <c r="E10" i="408"/>
  <c r="N10" i="408"/>
  <c r="N11" i="408" s="1"/>
  <c r="I18" i="30"/>
  <c r="I16" i="50"/>
  <c r="K40" i="3" s="1"/>
  <c r="H40" i="3" s="1"/>
  <c r="N40" i="3" s="1"/>
  <c r="I19" i="53"/>
  <c r="N1" i="53" s="1"/>
  <c r="N4" i="53" s="1"/>
  <c r="C12" i="47" s="1"/>
  <c r="E12" i="47" s="1"/>
  <c r="I19" i="160"/>
  <c r="I19" i="204"/>
  <c r="I20" i="212"/>
  <c r="I21" i="238"/>
  <c r="N28" i="249"/>
  <c r="J208" i="3" s="1"/>
  <c r="H208" i="3" s="1"/>
  <c r="N208" i="3" s="1"/>
  <c r="N25" i="293"/>
  <c r="J248" i="3" s="1"/>
  <c r="H248" i="3" s="1"/>
  <c r="N248" i="3" s="1"/>
  <c r="I20" i="300"/>
  <c r="I17" i="307"/>
  <c r="I25" i="308"/>
  <c r="I22" i="363"/>
  <c r="K306" i="3" s="1"/>
  <c r="I31" i="409"/>
  <c r="K349" i="3" s="1"/>
  <c r="H349" i="3" s="1"/>
  <c r="N349" i="3" s="1"/>
  <c r="N1" i="42"/>
  <c r="C16" i="28" s="1"/>
  <c r="E16" i="28" s="1"/>
  <c r="N1" i="57"/>
  <c r="N4" i="57" s="1"/>
  <c r="C16" i="47" s="1"/>
  <c r="E16" i="47" s="1"/>
  <c r="I17" i="69"/>
  <c r="F22" i="119"/>
  <c r="I22" i="119" s="1"/>
  <c r="I20" i="149"/>
  <c r="K125" i="3" s="1"/>
  <c r="I25" i="153"/>
  <c r="K128" i="3" s="1"/>
  <c r="H128" i="3" s="1"/>
  <c r="N128" i="3" s="1"/>
  <c r="I19" i="161"/>
  <c r="K134" i="3" s="1"/>
  <c r="I19" i="163"/>
  <c r="K136" i="3" s="1"/>
  <c r="I20" i="210"/>
  <c r="N74" i="259"/>
  <c r="J217" i="3" s="1"/>
  <c r="J126" i="259"/>
  <c r="L217" i="3" s="1"/>
  <c r="H217" i="3" s="1"/>
  <c r="N217" i="3" s="1"/>
  <c r="H331" i="3"/>
  <c r="N331" i="3" s="1"/>
  <c r="I16" i="125"/>
  <c r="K105" i="3" s="1"/>
  <c r="H220" i="3"/>
  <c r="N220" i="3" s="1"/>
  <c r="I17" i="225"/>
  <c r="I17" i="250"/>
  <c r="I17" i="280"/>
  <c r="K237" i="3" s="1"/>
  <c r="H237" i="3" s="1"/>
  <c r="N237" i="3" s="1"/>
  <c r="I16" i="342"/>
  <c r="N1" i="342" s="1"/>
  <c r="I32" i="351"/>
  <c r="K296" i="3" s="1"/>
  <c r="H296" i="3" s="1"/>
  <c r="N296" i="3" s="1"/>
  <c r="J300" i="3"/>
  <c r="H300" i="3" s="1"/>
  <c r="N300" i="3" s="1"/>
  <c r="N1" i="356"/>
  <c r="N17" i="380"/>
  <c r="J323" i="3" s="1"/>
  <c r="H323" i="3" s="1"/>
  <c r="N323" i="3" s="1"/>
  <c r="I23" i="387"/>
  <c r="K330" i="3" s="1"/>
  <c r="H365" i="3"/>
  <c r="N365" i="3" s="1"/>
  <c r="H242" i="3"/>
  <c r="N242" i="3" s="1"/>
  <c r="E10" i="161"/>
  <c r="N10" i="161"/>
  <c r="N12" i="161" s="1"/>
  <c r="I27" i="167"/>
  <c r="I17" i="177"/>
  <c r="K156" i="3" s="1"/>
  <c r="H156" i="3" s="1"/>
  <c r="N156" i="3" s="1"/>
  <c r="I19" i="179"/>
  <c r="N1" i="179" s="1"/>
  <c r="I19" i="180"/>
  <c r="I17" i="197"/>
  <c r="I16" i="205"/>
  <c r="N1" i="205" s="1"/>
  <c r="J283" i="3"/>
  <c r="H283" i="3" s="1"/>
  <c r="N283" i="3" s="1"/>
  <c r="N1" i="335"/>
  <c r="I18" i="368"/>
  <c r="N1" i="368" s="1"/>
  <c r="J35" i="371"/>
  <c r="L314" i="3" s="1"/>
  <c r="H314" i="3" s="1"/>
  <c r="N314" i="3" s="1"/>
  <c r="I16" i="415"/>
  <c r="I22" i="423"/>
  <c r="K362" i="3" s="1"/>
  <c r="H362" i="3" s="1"/>
  <c r="N362" i="3" s="1"/>
  <c r="I20" i="424"/>
  <c r="K363" i="3" s="1"/>
  <c r="N1" i="427"/>
  <c r="I16" i="18"/>
  <c r="K18" i="3" s="1"/>
  <c r="H18" i="3" s="1"/>
  <c r="N18" i="3" s="1"/>
  <c r="I17" i="226"/>
  <c r="I26" i="168"/>
  <c r="K147" i="3" s="1"/>
  <c r="H147" i="3" s="1"/>
  <c r="N147" i="3" s="1"/>
  <c r="I17" i="173"/>
  <c r="K145" i="3" s="1"/>
  <c r="H145" i="3" s="1"/>
  <c r="N145" i="3" s="1"/>
  <c r="I17" i="174"/>
  <c r="I17" i="184"/>
  <c r="I20" i="298"/>
  <c r="K253" i="3" s="1"/>
  <c r="H253" i="3" s="1"/>
  <c r="N253" i="3" s="1"/>
  <c r="I30" i="380"/>
  <c r="K323" i="3" s="1"/>
  <c r="H325" i="3"/>
  <c r="N325" i="3" s="1"/>
  <c r="I16" i="278"/>
  <c r="N1" i="278" s="1"/>
  <c r="I18" i="349"/>
  <c r="N1" i="349" s="1"/>
  <c r="I19" i="383"/>
  <c r="K326" i="3" s="1"/>
  <c r="I29" i="384"/>
  <c r="K327" i="3" s="1"/>
  <c r="H327" i="3" s="1"/>
  <c r="N327" i="3" s="1"/>
  <c r="I19" i="400"/>
  <c r="N1" i="400" s="1"/>
  <c r="I19" i="410"/>
  <c r="M27" i="3"/>
  <c r="G7" i="2" s="1"/>
  <c r="I16" i="9"/>
  <c r="N1" i="9" s="1"/>
  <c r="I54" i="223"/>
  <c r="K184" i="3" s="1"/>
  <c r="H184" i="3" s="1"/>
  <c r="N184" i="3" s="1"/>
  <c r="I17" i="224"/>
  <c r="K185" i="3" s="1"/>
  <c r="H185" i="3" s="1"/>
  <c r="N185" i="3" s="1"/>
  <c r="I17" i="231"/>
  <c r="I17" i="232"/>
  <c r="K193" i="3" s="1"/>
  <c r="H193" i="3" s="1"/>
  <c r="N193" i="3" s="1"/>
  <c r="I21" i="239"/>
  <c r="I16" i="407"/>
  <c r="E10" i="416"/>
  <c r="N10" i="416"/>
  <c r="N11" i="416" s="1"/>
  <c r="N109" i="3"/>
  <c r="I16" i="8"/>
  <c r="N1" i="8" s="1"/>
  <c r="H57" i="3"/>
  <c r="N57" i="3" s="1"/>
  <c r="I43" i="59"/>
  <c r="K48" i="3" s="1"/>
  <c r="H48" i="3" s="1"/>
  <c r="N48" i="3" s="1"/>
  <c r="I47" i="28"/>
  <c r="K28" i="3" s="1"/>
  <c r="H28" i="3" s="1"/>
  <c r="N28" i="3" s="1"/>
  <c r="N1" i="15"/>
  <c r="H15" i="3"/>
  <c r="N15" i="3" s="1"/>
  <c r="K14" i="3"/>
  <c r="H14" i="3" s="1"/>
  <c r="N14" i="3" s="1"/>
  <c r="K12" i="3"/>
  <c r="H12" i="3" s="1"/>
  <c r="N12" i="3" s="1"/>
  <c r="N1" i="12"/>
  <c r="N1" i="79"/>
  <c r="K64" i="3"/>
  <c r="H64" i="3" s="1"/>
  <c r="N64" i="3" s="1"/>
  <c r="N1" i="184"/>
  <c r="K158" i="3"/>
  <c r="H158" i="3" s="1"/>
  <c r="N158" i="3" s="1"/>
  <c r="C10" i="206"/>
  <c r="E10" i="206" s="1"/>
  <c r="K167" i="3"/>
  <c r="H167" i="3" s="1"/>
  <c r="N167" i="3" s="1"/>
  <c r="N1" i="199"/>
  <c r="N1" i="200"/>
  <c r="K168" i="3"/>
  <c r="H168" i="3" s="1"/>
  <c r="N168" i="3" s="1"/>
  <c r="N1" i="424"/>
  <c r="N4" i="42"/>
  <c r="N1" i="36"/>
  <c r="N1" i="52"/>
  <c r="N4" i="52" s="1"/>
  <c r="C11" i="47" s="1"/>
  <c r="E11" i="47" s="1"/>
  <c r="K149" i="3"/>
  <c r="H149" i="3" s="1"/>
  <c r="N149" i="3" s="1"/>
  <c r="N1" i="174"/>
  <c r="K144" i="3"/>
  <c r="H144" i="3" s="1"/>
  <c r="N144" i="3" s="1"/>
  <c r="N1" i="183"/>
  <c r="N1" i="201"/>
  <c r="K169" i="3"/>
  <c r="H169" i="3" s="1"/>
  <c r="N169" i="3" s="1"/>
  <c r="K61" i="3"/>
  <c r="H61" i="3" s="1"/>
  <c r="N61" i="3" s="1"/>
  <c r="N1" i="76"/>
  <c r="N4" i="76" s="1"/>
  <c r="C12" i="72" s="1"/>
  <c r="E12" i="72" s="1"/>
  <c r="N1" i="69"/>
  <c r="N4" i="69" s="1"/>
  <c r="C15" i="59" s="1"/>
  <c r="E15" i="59" s="1"/>
  <c r="K55" i="3"/>
  <c r="H55" i="3" s="1"/>
  <c r="N55" i="3" s="1"/>
  <c r="N4" i="233"/>
  <c r="C19" i="222"/>
  <c r="E19" i="222" s="1"/>
  <c r="K223" i="3"/>
  <c r="H223" i="3" s="1"/>
  <c r="N223" i="3" s="1"/>
  <c r="N1" i="265"/>
  <c r="N1" i="268"/>
  <c r="K225" i="3"/>
  <c r="H225" i="3" s="1"/>
  <c r="N225" i="3" s="1"/>
  <c r="K226" i="3"/>
  <c r="H226" i="3" s="1"/>
  <c r="N226" i="3" s="1"/>
  <c r="N1" i="269"/>
  <c r="N1" i="271"/>
  <c r="K228" i="3"/>
  <c r="H228" i="3" s="1"/>
  <c r="N228" i="3" s="1"/>
  <c r="K236" i="3"/>
  <c r="H236" i="3" s="1"/>
  <c r="N236" i="3" s="1"/>
  <c r="N1" i="279"/>
  <c r="N1" i="300"/>
  <c r="K255" i="3"/>
  <c r="H255" i="3" s="1"/>
  <c r="N255" i="3" s="1"/>
  <c r="K32" i="3"/>
  <c r="H32" i="3" s="1"/>
  <c r="N32" i="3" s="1"/>
  <c r="C12" i="293"/>
  <c r="E12" i="293" s="1"/>
  <c r="H115" i="3"/>
  <c r="N115" i="3" s="1"/>
  <c r="K59" i="3"/>
  <c r="H59" i="3" s="1"/>
  <c r="N59" i="3" s="1"/>
  <c r="N1" i="74"/>
  <c r="N4" i="74" s="1"/>
  <c r="C10" i="72" s="1"/>
  <c r="E10" i="72" s="1"/>
  <c r="M43" i="3"/>
  <c r="H43" i="3" s="1"/>
  <c r="N43" i="3" s="1"/>
  <c r="N1" i="54"/>
  <c r="N4" i="230"/>
  <c r="C16" i="222"/>
  <c r="E16" i="222" s="1"/>
  <c r="C23" i="222"/>
  <c r="E23" i="222" s="1"/>
  <c r="N4" i="237"/>
  <c r="K124" i="3"/>
  <c r="N1" i="148"/>
  <c r="N4" i="148" s="1"/>
  <c r="K126" i="3"/>
  <c r="H126" i="3" s="1"/>
  <c r="N126" i="3" s="1"/>
  <c r="N1" i="150"/>
  <c r="N4" i="150" s="1"/>
  <c r="N1" i="169"/>
  <c r="K142" i="3"/>
  <c r="H142" i="3" s="1"/>
  <c r="N142" i="3" s="1"/>
  <c r="N1" i="170"/>
  <c r="K143" i="3"/>
  <c r="H143" i="3" s="1"/>
  <c r="N143" i="3" s="1"/>
  <c r="N1" i="176"/>
  <c r="K154" i="3"/>
  <c r="H154" i="3" s="1"/>
  <c r="N154" i="3" s="1"/>
  <c r="K152" i="3"/>
  <c r="H152" i="3" s="1"/>
  <c r="N152" i="3" s="1"/>
  <c r="N1" i="180"/>
  <c r="K157" i="3"/>
  <c r="H157" i="3" s="1"/>
  <c r="N157" i="3" s="1"/>
  <c r="N1" i="181"/>
  <c r="K159" i="3"/>
  <c r="H159" i="3" s="1"/>
  <c r="N159" i="3" s="1"/>
  <c r="K171" i="3"/>
  <c r="H171" i="3" s="1"/>
  <c r="N171" i="3" s="1"/>
  <c r="N1" i="203"/>
  <c r="N1" i="204"/>
  <c r="K172" i="3"/>
  <c r="H172" i="3" s="1"/>
  <c r="N172" i="3" s="1"/>
  <c r="K192" i="3"/>
  <c r="H192" i="3" s="1"/>
  <c r="N192" i="3" s="1"/>
  <c r="N1" i="231"/>
  <c r="N1" i="232"/>
  <c r="K200" i="3"/>
  <c r="H200" i="3" s="1"/>
  <c r="N200" i="3" s="1"/>
  <c r="N1" i="239"/>
  <c r="K350" i="3"/>
  <c r="K367" i="3"/>
  <c r="H367" i="3" s="1"/>
  <c r="N367" i="3" s="1"/>
  <c r="N1" i="430"/>
  <c r="H41" i="3"/>
  <c r="N41" i="3" s="1"/>
  <c r="I23" i="62"/>
  <c r="H201" i="3"/>
  <c r="N201" i="3" s="1"/>
  <c r="H202" i="3"/>
  <c r="N202" i="3" s="1"/>
  <c r="K58" i="3"/>
  <c r="H58" i="3" s="1"/>
  <c r="N58" i="3" s="1"/>
  <c r="N1" i="73"/>
  <c r="K44" i="3"/>
  <c r="H44" i="3" s="1"/>
  <c r="N44" i="3" s="1"/>
  <c r="K42" i="3"/>
  <c r="H42" i="3" s="1"/>
  <c r="N42" i="3" s="1"/>
  <c r="K62" i="3"/>
  <c r="H62" i="3" s="1"/>
  <c r="N62" i="3" s="1"/>
  <c r="C21" i="222"/>
  <c r="E21" i="222" s="1"/>
  <c r="N4" i="235"/>
  <c r="C9" i="245"/>
  <c r="E9" i="245" s="1"/>
  <c r="K162" i="3"/>
  <c r="H162" i="3" s="1"/>
  <c r="N162" i="3" s="1"/>
  <c r="N1" i="194"/>
  <c r="K165" i="3"/>
  <c r="H165" i="3" s="1"/>
  <c r="N165" i="3" s="1"/>
  <c r="N1" i="197"/>
  <c r="K209" i="3"/>
  <c r="H209" i="3" s="1"/>
  <c r="N209" i="3" s="1"/>
  <c r="N1" i="250"/>
  <c r="N1" i="251"/>
  <c r="K211" i="3"/>
  <c r="H211" i="3" s="1"/>
  <c r="N211" i="3" s="1"/>
  <c r="K213" i="3"/>
  <c r="H213" i="3" s="1"/>
  <c r="N213" i="3" s="1"/>
  <c r="N1" i="254"/>
  <c r="I31" i="60"/>
  <c r="N4" i="32"/>
  <c r="E14" i="285"/>
  <c r="N1" i="285" s="1"/>
  <c r="N4" i="285" s="1"/>
  <c r="K235" i="3"/>
  <c r="H235" i="3" s="1"/>
  <c r="N235" i="3" s="1"/>
  <c r="N1" i="299"/>
  <c r="K254" i="3"/>
  <c r="H254" i="3" s="1"/>
  <c r="N254" i="3" s="1"/>
  <c r="K287" i="3"/>
  <c r="H287" i="3" s="1"/>
  <c r="N287" i="3" s="1"/>
  <c r="N1" i="340"/>
  <c r="K290" i="3"/>
  <c r="H290" i="3" s="1"/>
  <c r="N290" i="3" s="1"/>
  <c r="N1" i="344"/>
  <c r="K295" i="3"/>
  <c r="H295" i="3" s="1"/>
  <c r="N295" i="3" s="1"/>
  <c r="N1" i="350"/>
  <c r="N1" i="353"/>
  <c r="K297" i="3"/>
  <c r="H297" i="3" s="1"/>
  <c r="N297" i="3" s="1"/>
  <c r="K311" i="3"/>
  <c r="H311" i="3" s="1"/>
  <c r="N311" i="3" s="1"/>
  <c r="H91" i="3"/>
  <c r="N91" i="3" s="1"/>
  <c r="H46" i="3"/>
  <c r="N46" i="3" s="1"/>
  <c r="I21" i="58"/>
  <c r="K36" i="3"/>
  <c r="H36" i="3" s="1"/>
  <c r="N36" i="3" s="1"/>
  <c r="I20" i="63"/>
  <c r="H54" i="3"/>
  <c r="N54" i="3" s="1"/>
  <c r="N1" i="38"/>
  <c r="N4" i="38" s="1"/>
  <c r="C14" i="28" s="1"/>
  <c r="E14" i="28" s="1"/>
  <c r="K34" i="3"/>
  <c r="H34" i="3" s="1"/>
  <c r="N34" i="3" s="1"/>
  <c r="K231" i="3"/>
  <c r="H231" i="3" s="1"/>
  <c r="N231" i="3" s="1"/>
  <c r="N1" i="274"/>
  <c r="K60" i="3"/>
  <c r="H60" i="3" s="1"/>
  <c r="N60" i="3" s="1"/>
  <c r="N1" i="75"/>
  <c r="N4" i="75" s="1"/>
  <c r="C11" i="72" s="1"/>
  <c r="E11" i="72" s="1"/>
  <c r="C12" i="28"/>
  <c r="E12" i="28" s="1"/>
  <c r="N4" i="34"/>
  <c r="K37" i="3"/>
  <c r="H37" i="3" s="1"/>
  <c r="N37" i="3" s="1"/>
  <c r="N1" i="43"/>
  <c r="N4" i="182"/>
  <c r="C18" i="165"/>
  <c r="E18" i="165" s="1"/>
  <c r="K177" i="3"/>
  <c r="H177" i="3" s="1"/>
  <c r="N177" i="3" s="1"/>
  <c r="N1" i="210"/>
  <c r="K178" i="3"/>
  <c r="H178" i="3" s="1"/>
  <c r="N178" i="3" s="1"/>
  <c r="N1" i="212"/>
  <c r="N1" i="214"/>
  <c r="K179" i="3"/>
  <c r="H179" i="3" s="1"/>
  <c r="N179" i="3" s="1"/>
  <c r="K186" i="3"/>
  <c r="H186" i="3" s="1"/>
  <c r="N186" i="3" s="1"/>
  <c r="N1" i="225"/>
  <c r="K187" i="3"/>
  <c r="H187" i="3" s="1"/>
  <c r="N187" i="3" s="1"/>
  <c r="N1" i="226"/>
  <c r="K199" i="3"/>
  <c r="H199" i="3" s="1"/>
  <c r="N199" i="3" s="1"/>
  <c r="N1" i="238"/>
  <c r="N1" i="240"/>
  <c r="K201" i="3"/>
  <c r="N1" i="241"/>
  <c r="K202" i="3"/>
  <c r="C9" i="399"/>
  <c r="E9" i="399" s="1"/>
  <c r="N4" i="400"/>
  <c r="J27" i="3"/>
  <c r="D7" i="2" s="1"/>
  <c r="H206" i="3"/>
  <c r="N206" i="3" s="1"/>
  <c r="L27" i="3"/>
  <c r="F7" i="2" s="1"/>
  <c r="M221" i="3"/>
  <c r="G10" i="2" s="1"/>
  <c r="K54" i="3"/>
  <c r="K234" i="3"/>
  <c r="H234" i="3" s="1"/>
  <c r="N234" i="3" s="1"/>
  <c r="N1" i="348"/>
  <c r="K191" i="3"/>
  <c r="H191" i="3" s="1"/>
  <c r="N191" i="3" s="1"/>
  <c r="N1" i="262"/>
  <c r="N1" i="178"/>
  <c r="N1" i="252"/>
  <c r="N1" i="185"/>
  <c r="N1" i="187"/>
  <c r="K252" i="3"/>
  <c r="H252" i="3" s="1"/>
  <c r="N252" i="3" s="1"/>
  <c r="M256" i="3"/>
  <c r="G11" i="2" s="1"/>
  <c r="J285" i="3"/>
  <c r="D12" i="2" s="1"/>
  <c r="K196" i="3"/>
  <c r="H196" i="3" s="1"/>
  <c r="N196" i="3" s="1"/>
  <c r="K148" i="3"/>
  <c r="H148" i="3" s="1"/>
  <c r="N148" i="3" s="1"/>
  <c r="M203" i="3"/>
  <c r="G9" i="2" s="1"/>
  <c r="N1" i="280"/>
  <c r="N1" i="270"/>
  <c r="N1" i="267"/>
  <c r="K194" i="3"/>
  <c r="H194" i="3" s="1"/>
  <c r="N194" i="3" s="1"/>
  <c r="K342" i="3"/>
  <c r="H342" i="3" s="1"/>
  <c r="N342" i="3" s="1"/>
  <c r="L256" i="3"/>
  <c r="F11" i="2" s="1"/>
  <c r="M285" i="3"/>
  <c r="G12" i="2" s="1"/>
  <c r="M369" i="3"/>
  <c r="N1" i="247"/>
  <c r="N1" i="196"/>
  <c r="N1" i="275"/>
  <c r="L369" i="3"/>
  <c r="N1" i="220"/>
  <c r="K249" i="3"/>
  <c r="M357" i="3"/>
  <c r="G13" i="2" s="1"/>
  <c r="K247" i="3"/>
  <c r="H247" i="3" s="1"/>
  <c r="N247" i="3" s="1"/>
  <c r="N221" i="3" l="1"/>
  <c r="H10" i="2" s="1"/>
  <c r="K133" i="3"/>
  <c r="H133" i="3" s="1"/>
  <c r="N133" i="3" s="1"/>
  <c r="N1" i="160"/>
  <c r="J131" i="3"/>
  <c r="H131" i="3" s="1"/>
  <c r="N131" i="3" s="1"/>
  <c r="N1" i="158"/>
  <c r="N4" i="83"/>
  <c r="C13" i="78"/>
  <c r="E13" i="78" s="1"/>
  <c r="L122" i="3"/>
  <c r="F8" i="2" s="1"/>
  <c r="F16" i="2" s="1"/>
  <c r="C10" i="354"/>
  <c r="E10" i="354" s="1"/>
  <c r="N4" i="356"/>
  <c r="N1" i="307"/>
  <c r="K261" i="3"/>
  <c r="N4" i="396"/>
  <c r="C9" i="395"/>
  <c r="E9" i="395" s="1"/>
  <c r="N4" i="318"/>
  <c r="C10" i="316"/>
  <c r="E10" i="316" s="1"/>
  <c r="E12" i="316" s="1"/>
  <c r="N1" i="316" s="1"/>
  <c r="N4" i="316" s="1"/>
  <c r="C10" i="302"/>
  <c r="E10" i="302" s="1"/>
  <c r="N4" i="304"/>
  <c r="N4" i="420"/>
  <c r="C9" i="419"/>
  <c r="E9" i="419" s="1"/>
  <c r="N4" i="272"/>
  <c r="C15" i="264"/>
  <c r="E15" i="264" s="1"/>
  <c r="N4" i="377"/>
  <c r="C10" i="375"/>
  <c r="E10" i="375" s="1"/>
  <c r="J136" i="3"/>
  <c r="H136" i="3" s="1"/>
  <c r="N136" i="3" s="1"/>
  <c r="N1" i="163"/>
  <c r="N4" i="101"/>
  <c r="C17" i="92"/>
  <c r="E17" i="92" s="1"/>
  <c r="N4" i="100"/>
  <c r="C16" i="92"/>
  <c r="E16" i="92" s="1"/>
  <c r="N1" i="153"/>
  <c r="N4" i="153" s="1"/>
  <c r="K221" i="3"/>
  <c r="E10" i="2" s="1"/>
  <c r="J256" i="3"/>
  <c r="D11" i="2" s="1"/>
  <c r="N4" i="276"/>
  <c r="C19" i="264"/>
  <c r="E19" i="264" s="1"/>
  <c r="N1" i="224"/>
  <c r="J134" i="3"/>
  <c r="H134" i="3" s="1"/>
  <c r="N134" i="3" s="1"/>
  <c r="N1" i="161"/>
  <c r="C15" i="206"/>
  <c r="E15" i="206" s="1"/>
  <c r="N4" i="218"/>
  <c r="N1" i="394"/>
  <c r="N4" i="394" s="1"/>
  <c r="J356" i="3"/>
  <c r="H356" i="3" s="1"/>
  <c r="N356" i="3" s="1"/>
  <c r="N1" i="417"/>
  <c r="N1" i="295"/>
  <c r="J250" i="3"/>
  <c r="H250" i="3" s="1"/>
  <c r="N250" i="3" s="1"/>
  <c r="N1" i="162"/>
  <c r="J135" i="3"/>
  <c r="H135" i="3" s="1"/>
  <c r="N135" i="3" s="1"/>
  <c r="N1" i="50"/>
  <c r="N4" i="50" s="1"/>
  <c r="N1" i="351"/>
  <c r="N4" i="351" s="1"/>
  <c r="K166" i="3"/>
  <c r="H166" i="3" s="1"/>
  <c r="N166" i="3" s="1"/>
  <c r="C20" i="92"/>
  <c r="E20" i="92" s="1"/>
  <c r="N4" i="104"/>
  <c r="H336" i="3"/>
  <c r="N336" i="3" s="1"/>
  <c r="N4" i="284"/>
  <c r="C9" i="283"/>
  <c r="E9" i="283" s="1"/>
  <c r="E10" i="283" s="1"/>
  <c r="N1" i="283" s="1"/>
  <c r="N4" i="283" s="1"/>
  <c r="N4" i="186"/>
  <c r="C10" i="165"/>
  <c r="E10" i="165" s="1"/>
  <c r="K8" i="3"/>
  <c r="N4" i="427"/>
  <c r="C11" i="423"/>
  <c r="E11" i="423" s="1"/>
  <c r="H341" i="3"/>
  <c r="N341" i="3" s="1"/>
  <c r="C11" i="362"/>
  <c r="E11" i="362" s="1"/>
  <c r="N4" i="365"/>
  <c r="H105" i="3"/>
  <c r="N105" i="3" s="1"/>
  <c r="C10" i="255"/>
  <c r="E10" i="255" s="1"/>
  <c r="N4" i="257"/>
  <c r="N4" i="108"/>
  <c r="C10" i="106"/>
  <c r="E10" i="106" s="1"/>
  <c r="N4" i="95"/>
  <c r="C11" i="92"/>
  <c r="E11" i="92" s="1"/>
  <c r="H249" i="3"/>
  <c r="N249" i="3" s="1"/>
  <c r="N256" i="3" s="1"/>
  <c r="H11" i="2" s="1"/>
  <c r="N4" i="236"/>
  <c r="K180" i="3"/>
  <c r="H180" i="3" s="1"/>
  <c r="N180" i="3" s="1"/>
  <c r="K294" i="3"/>
  <c r="H294" i="3" s="1"/>
  <c r="N294" i="3" s="1"/>
  <c r="K289" i="3"/>
  <c r="H289" i="3" s="1"/>
  <c r="N289" i="3" s="1"/>
  <c r="C23" i="165"/>
  <c r="E23" i="165" s="1"/>
  <c r="N1" i="195"/>
  <c r="N1" i="173"/>
  <c r="K9" i="3"/>
  <c r="H9" i="3" s="1"/>
  <c r="N9" i="3" s="1"/>
  <c r="N1" i="18"/>
  <c r="C16" i="362"/>
  <c r="E16" i="362" s="1"/>
  <c r="K93" i="3"/>
  <c r="H93" i="3" s="1"/>
  <c r="N93" i="3" s="1"/>
  <c r="J369" i="3"/>
  <c r="D14" i="2" s="1"/>
  <c r="K173" i="3"/>
  <c r="H173" i="3" s="1"/>
  <c r="N173" i="3" s="1"/>
  <c r="C9" i="259"/>
  <c r="E9" i="259" s="1"/>
  <c r="N4" i="260"/>
  <c r="K108" i="3"/>
  <c r="H108" i="3" s="1"/>
  <c r="N108" i="3" s="1"/>
  <c r="N1" i="129"/>
  <c r="N1" i="398"/>
  <c r="N1" i="404"/>
  <c r="J344" i="3"/>
  <c r="H344" i="3" s="1"/>
  <c r="N344" i="3" s="1"/>
  <c r="H326" i="3"/>
  <c r="N326" i="3" s="1"/>
  <c r="C18" i="302"/>
  <c r="E18" i="302" s="1"/>
  <c r="N4" i="315"/>
  <c r="C12" i="326"/>
  <c r="E12" i="326" s="1"/>
  <c r="N4" i="330"/>
  <c r="N1" i="294"/>
  <c r="N1" i="379"/>
  <c r="K322" i="3"/>
  <c r="H322" i="3" s="1"/>
  <c r="N322" i="3" s="1"/>
  <c r="C21" i="92"/>
  <c r="E21" i="92" s="1"/>
  <c r="N4" i="105"/>
  <c r="C9" i="380"/>
  <c r="E9" i="380" s="1"/>
  <c r="N4" i="381"/>
  <c r="C9" i="255"/>
  <c r="E9" i="255" s="1"/>
  <c r="E11" i="255" s="1"/>
  <c r="N1" i="255" s="1"/>
  <c r="N4" i="255" s="1"/>
  <c r="N4" i="256"/>
  <c r="N4" i="94"/>
  <c r="C10" i="92"/>
  <c r="E10" i="92" s="1"/>
  <c r="N4" i="329"/>
  <c r="C11" i="326"/>
  <c r="E11" i="326" s="1"/>
  <c r="N1" i="363"/>
  <c r="N4" i="382"/>
  <c r="C10" i="380"/>
  <c r="E10" i="380" s="1"/>
  <c r="C15" i="222"/>
  <c r="E15" i="222" s="1"/>
  <c r="N4" i="229"/>
  <c r="C11" i="165"/>
  <c r="E11" i="165" s="1"/>
  <c r="N4" i="172"/>
  <c r="N4" i="138"/>
  <c r="C9" i="137"/>
  <c r="E9" i="137" s="1"/>
  <c r="N4" i="321"/>
  <c r="C9" i="320"/>
  <c r="E9" i="320" s="1"/>
  <c r="E13" i="320" s="1"/>
  <c r="N1" i="320" s="1"/>
  <c r="N4" i="320" s="1"/>
  <c r="K354" i="3"/>
  <c r="H354" i="3" s="1"/>
  <c r="N354" i="3" s="1"/>
  <c r="N1" i="415"/>
  <c r="K262" i="3"/>
  <c r="H262" i="3" s="1"/>
  <c r="N262" i="3" s="1"/>
  <c r="N1" i="308"/>
  <c r="N4" i="131"/>
  <c r="C12" i="127"/>
  <c r="E12" i="127" s="1"/>
  <c r="C13" i="354"/>
  <c r="E13" i="354" s="1"/>
  <c r="N4" i="359"/>
  <c r="N4" i="103"/>
  <c r="C19" i="92"/>
  <c r="E19" i="92" s="1"/>
  <c r="N4" i="80"/>
  <c r="C10" i="78"/>
  <c r="E10" i="78" s="1"/>
  <c r="C11" i="419"/>
  <c r="E11" i="419" s="1"/>
  <c r="N4" i="422"/>
  <c r="N4" i="364"/>
  <c r="C10" i="362"/>
  <c r="E10" i="362" s="1"/>
  <c r="N4" i="366"/>
  <c r="C12" i="362"/>
  <c r="E12" i="362" s="1"/>
  <c r="C9" i="375"/>
  <c r="E9" i="375" s="1"/>
  <c r="N4" i="376"/>
  <c r="C10" i="395"/>
  <c r="E10" i="395" s="1"/>
  <c r="N4" i="397"/>
  <c r="H350" i="3"/>
  <c r="N350" i="3" s="1"/>
  <c r="N1" i="177"/>
  <c r="C26" i="165" s="1"/>
  <c r="E26" i="165" s="1"/>
  <c r="N1" i="168"/>
  <c r="C17" i="165" s="1"/>
  <c r="E17" i="165" s="1"/>
  <c r="N4" i="171"/>
  <c r="N1" i="416"/>
  <c r="J355" i="3"/>
  <c r="H355" i="3" s="1"/>
  <c r="N355" i="3" s="1"/>
  <c r="N1" i="413"/>
  <c r="K146" i="3"/>
  <c r="H146" i="3" s="1"/>
  <c r="N146" i="3" s="1"/>
  <c r="N1" i="167"/>
  <c r="K189" i="3"/>
  <c r="H189" i="3" s="1"/>
  <c r="N189" i="3" s="1"/>
  <c r="N1" i="228"/>
  <c r="K288" i="3"/>
  <c r="H288" i="3" s="1"/>
  <c r="N288" i="3" s="1"/>
  <c r="N1" i="341"/>
  <c r="N4" i="123"/>
  <c r="C12" i="118"/>
  <c r="E12" i="118" s="1"/>
  <c r="N4" i="93"/>
  <c r="C9" i="92"/>
  <c r="E9" i="92" s="1"/>
  <c r="J132" i="3"/>
  <c r="H132" i="3" s="1"/>
  <c r="N132" i="3" s="1"/>
  <c r="N1" i="159"/>
  <c r="K304" i="3"/>
  <c r="H304" i="3" s="1"/>
  <c r="N304" i="3" s="1"/>
  <c r="N1" i="361"/>
  <c r="N4" i="139"/>
  <c r="C10" i="137"/>
  <c r="E10" i="137" s="1"/>
  <c r="C14" i="78"/>
  <c r="E14" i="78" s="1"/>
  <c r="N4" i="84"/>
  <c r="N4" i="135"/>
  <c r="C10" i="132"/>
  <c r="E10" i="132" s="1"/>
  <c r="E12" i="132" s="1"/>
  <c r="N1" i="132" s="1"/>
  <c r="N4" i="132" s="1"/>
  <c r="N1" i="371"/>
  <c r="N4" i="371" s="1"/>
  <c r="N4" i="96"/>
  <c r="C12" i="92"/>
  <c r="E12" i="92" s="1"/>
  <c r="N1" i="234"/>
  <c r="N4" i="234" s="1"/>
  <c r="J221" i="3"/>
  <c r="D10" i="2" s="1"/>
  <c r="N1" i="410"/>
  <c r="C9" i="409" s="1"/>
  <c r="E9" i="409" s="1"/>
  <c r="C14" i="326"/>
  <c r="E14" i="326" s="1"/>
  <c r="N4" i="335"/>
  <c r="N1" i="30"/>
  <c r="K30" i="3"/>
  <c r="H30" i="3" s="1"/>
  <c r="N30" i="3" s="1"/>
  <c r="N14" i="149"/>
  <c r="N1" i="389"/>
  <c r="N4" i="389" s="1"/>
  <c r="J137" i="3"/>
  <c r="H137" i="3" s="1"/>
  <c r="N137" i="3" s="1"/>
  <c r="N1" i="164"/>
  <c r="C9" i="127"/>
  <c r="E9" i="127" s="1"/>
  <c r="N4" i="128"/>
  <c r="N4" i="412"/>
  <c r="C10" i="409"/>
  <c r="E10" i="409" s="1"/>
  <c r="N4" i="117"/>
  <c r="C16" i="109"/>
  <c r="E16" i="109" s="1"/>
  <c r="H286" i="3"/>
  <c r="N286" i="3" s="1"/>
  <c r="N357" i="3" s="1"/>
  <c r="H13" i="2" s="1"/>
  <c r="C11" i="118"/>
  <c r="E11" i="118" s="1"/>
  <c r="N4" i="121"/>
  <c r="N4" i="23"/>
  <c r="C12" i="19"/>
  <c r="E12" i="19" s="1"/>
  <c r="H292" i="3"/>
  <c r="N292" i="3" s="1"/>
  <c r="C10" i="109"/>
  <c r="E10" i="109" s="1"/>
  <c r="N1" i="223"/>
  <c r="C9" i="222" s="1"/>
  <c r="E9" i="222" s="1"/>
  <c r="K347" i="3"/>
  <c r="H347" i="3" s="1"/>
  <c r="N347" i="3" s="1"/>
  <c r="N1" i="407"/>
  <c r="J348" i="3"/>
  <c r="H348" i="3" s="1"/>
  <c r="N348" i="3" s="1"/>
  <c r="N1" i="408"/>
  <c r="N4" i="388"/>
  <c r="C12" i="384"/>
  <c r="E12" i="384" s="1"/>
  <c r="E13" i="384" s="1"/>
  <c r="N1" i="384" s="1"/>
  <c r="N4" i="384" s="1"/>
  <c r="N1" i="125"/>
  <c r="C12" i="409"/>
  <c r="E12" i="409" s="1"/>
  <c r="N4" i="414"/>
  <c r="J345" i="3"/>
  <c r="H345" i="3" s="1"/>
  <c r="N345" i="3" s="1"/>
  <c r="N1" i="405"/>
  <c r="N4" i="357"/>
  <c r="C11" i="354"/>
  <c r="E11" i="354" s="1"/>
  <c r="N4" i="367"/>
  <c r="C13" i="362"/>
  <c r="E13" i="362" s="1"/>
  <c r="N1" i="119"/>
  <c r="J101" i="3"/>
  <c r="H101" i="3" s="1"/>
  <c r="N101" i="3" s="1"/>
  <c r="C11" i="127"/>
  <c r="E11" i="127" s="1"/>
  <c r="N4" i="130"/>
  <c r="H214" i="3"/>
  <c r="N214" i="3" s="1"/>
  <c r="N4" i="358"/>
  <c r="C12" i="354"/>
  <c r="E12" i="354" s="1"/>
  <c r="N4" i="21"/>
  <c r="C10" i="19"/>
  <c r="E10" i="19" s="1"/>
  <c r="N4" i="312"/>
  <c r="C15" i="302"/>
  <c r="E15" i="302" s="1"/>
  <c r="N4" i="64"/>
  <c r="N1" i="110"/>
  <c r="N4" i="110" s="1"/>
  <c r="C9" i="109" s="1"/>
  <c r="E9" i="109" s="1"/>
  <c r="C9" i="47"/>
  <c r="E9" i="47" s="1"/>
  <c r="N4" i="48"/>
  <c r="N4" i="261"/>
  <c r="C10" i="259"/>
  <c r="E10" i="259" s="1"/>
  <c r="N4" i="107"/>
  <c r="C9" i="106"/>
  <c r="E9" i="106" s="1"/>
  <c r="E11" i="106" s="1"/>
  <c r="N1" i="106" s="1"/>
  <c r="N4" i="106" s="1"/>
  <c r="N4" i="97"/>
  <c r="C13" i="92"/>
  <c r="E13" i="92" s="1"/>
  <c r="C9" i="326"/>
  <c r="E9" i="326" s="1"/>
  <c r="N4" i="327"/>
  <c r="N4" i="40"/>
  <c r="H340" i="3"/>
  <c r="N340" i="3" s="1"/>
  <c r="C11" i="380"/>
  <c r="E11" i="380" s="1"/>
  <c r="N4" i="383"/>
  <c r="N4" i="296"/>
  <c r="C11" i="293"/>
  <c r="E11" i="293" s="1"/>
  <c r="C10" i="423"/>
  <c r="E10" i="423" s="1"/>
  <c r="N4" i="426"/>
  <c r="N1" i="298"/>
  <c r="C16" i="264"/>
  <c r="E16" i="264" s="1"/>
  <c r="N4" i="273"/>
  <c r="C13" i="399"/>
  <c r="E13" i="399" s="1"/>
  <c r="N4" i="406"/>
  <c r="C11" i="137"/>
  <c r="E11" i="137" s="1"/>
  <c r="N4" i="140"/>
  <c r="C13" i="222"/>
  <c r="E13" i="222" s="1"/>
  <c r="N4" i="227"/>
  <c r="C9" i="19"/>
  <c r="E9" i="19" s="1"/>
  <c r="E16" i="19" s="1"/>
  <c r="N1" i="19" s="1"/>
  <c r="N4" i="19" s="1"/>
  <c r="N4" i="20"/>
  <c r="N4" i="82"/>
  <c r="C12" i="78"/>
  <c r="E12" i="78" s="1"/>
  <c r="C11" i="384"/>
  <c r="E11" i="384" s="1"/>
  <c r="N4" i="387"/>
  <c r="J95" i="3"/>
  <c r="H95" i="3" s="1"/>
  <c r="N95" i="3" s="1"/>
  <c r="N1" i="113"/>
  <c r="N4" i="113" s="1"/>
  <c r="C12" i="109" s="1"/>
  <c r="E12" i="109" s="1"/>
  <c r="C13" i="13"/>
  <c r="E13" i="13" s="1"/>
  <c r="N4" i="18"/>
  <c r="C10" i="13"/>
  <c r="E10" i="13" s="1"/>
  <c r="N4" i="15"/>
  <c r="N4" i="14"/>
  <c r="C9" i="13"/>
  <c r="E9" i="13" s="1"/>
  <c r="N4" i="12"/>
  <c r="C13" i="7"/>
  <c r="E13" i="7" s="1"/>
  <c r="N4" i="9"/>
  <c r="C10" i="7"/>
  <c r="E10" i="7" s="1"/>
  <c r="H8" i="3"/>
  <c r="N8" i="3" s="1"/>
  <c r="N27" i="3" s="1"/>
  <c r="H7" i="2" s="1"/>
  <c r="K27" i="3"/>
  <c r="E7" i="2" s="1"/>
  <c r="N4" i="8"/>
  <c r="C9" i="7"/>
  <c r="E9" i="7" s="1"/>
  <c r="N4" i="241"/>
  <c r="C27" i="222"/>
  <c r="E27" i="222" s="1"/>
  <c r="N1" i="58"/>
  <c r="N4" i="58" s="1"/>
  <c r="C17" i="47" s="1"/>
  <c r="E17" i="47" s="1"/>
  <c r="K47" i="3"/>
  <c r="H47" i="3" s="1"/>
  <c r="N47" i="3" s="1"/>
  <c r="C13" i="249"/>
  <c r="E13" i="249" s="1"/>
  <c r="N4" i="254"/>
  <c r="C15" i="293"/>
  <c r="E15" i="293" s="1"/>
  <c r="N4" i="300"/>
  <c r="N4" i="268"/>
  <c r="C11" i="264"/>
  <c r="E11" i="264" s="1"/>
  <c r="C18" i="264"/>
  <c r="E18" i="264" s="1"/>
  <c r="N4" i="275"/>
  <c r="N4" i="225"/>
  <c r="C11" i="222"/>
  <c r="E11" i="222" s="1"/>
  <c r="N4" i="210"/>
  <c r="C11" i="206"/>
  <c r="E11" i="206" s="1"/>
  <c r="N4" i="340"/>
  <c r="C9" i="339"/>
  <c r="E9" i="339" s="1"/>
  <c r="C9" i="202"/>
  <c r="E9" i="202" s="1"/>
  <c r="N4" i="203"/>
  <c r="N4" i="54"/>
  <c r="C13" i="47"/>
  <c r="E13" i="47" s="1"/>
  <c r="N4" i="174"/>
  <c r="C19" i="165"/>
  <c r="E19" i="165" s="1"/>
  <c r="C9" i="423"/>
  <c r="E9" i="423" s="1"/>
  <c r="E12" i="423" s="1"/>
  <c r="N1" i="423" s="1"/>
  <c r="N4" i="423" s="1"/>
  <c r="N4" i="424"/>
  <c r="N4" i="195"/>
  <c r="C10" i="193"/>
  <c r="E10" i="193" s="1"/>
  <c r="C15" i="165"/>
  <c r="E15" i="165" s="1"/>
  <c r="N4" i="173"/>
  <c r="K369" i="3"/>
  <c r="K256" i="3"/>
  <c r="E11" i="2" s="1"/>
  <c r="C13" i="347"/>
  <c r="E13" i="347" s="1"/>
  <c r="N4" i="353"/>
  <c r="F14" i="2"/>
  <c r="L370" i="3"/>
  <c r="N4" i="226"/>
  <c r="C12" i="222"/>
  <c r="E12" i="222" s="1"/>
  <c r="N4" i="212"/>
  <c r="C12" i="206"/>
  <c r="E12" i="206" s="1"/>
  <c r="N4" i="43"/>
  <c r="C17" i="28"/>
  <c r="E17" i="28" s="1"/>
  <c r="C14" i="362"/>
  <c r="E14" i="362" s="1"/>
  <c r="N4" i="368"/>
  <c r="C12" i="339"/>
  <c r="E12" i="339" s="1"/>
  <c r="N4" i="344"/>
  <c r="C21" i="264"/>
  <c r="E21" i="264" s="1"/>
  <c r="N4" i="278"/>
  <c r="C10" i="47"/>
  <c r="E10" i="47" s="1"/>
  <c r="C9" i="429"/>
  <c r="E9" i="429" s="1"/>
  <c r="E11" i="429" s="1"/>
  <c r="N1" i="429" s="1"/>
  <c r="N4" i="429" s="1"/>
  <c r="N4" i="430"/>
  <c r="C17" i="222"/>
  <c r="E17" i="222" s="1"/>
  <c r="N4" i="231"/>
  <c r="N4" i="269"/>
  <c r="C12" i="264"/>
  <c r="E12" i="264" s="1"/>
  <c r="N4" i="183"/>
  <c r="C14" i="165"/>
  <c r="E14" i="165" s="1"/>
  <c r="C12" i="193"/>
  <c r="E12" i="193" s="1"/>
  <c r="N4" i="197"/>
  <c r="C10" i="202"/>
  <c r="E10" i="202" s="1"/>
  <c r="N4" i="204"/>
  <c r="C11" i="339"/>
  <c r="E11" i="339" s="1"/>
  <c r="N4" i="342"/>
  <c r="N4" i="250"/>
  <c r="C9" i="249"/>
  <c r="E9" i="249" s="1"/>
  <c r="N4" i="180"/>
  <c r="C27" i="165"/>
  <c r="E27" i="165" s="1"/>
  <c r="N4" i="170"/>
  <c r="C13" i="165"/>
  <c r="E13" i="165" s="1"/>
  <c r="N4" i="271"/>
  <c r="C14" i="264"/>
  <c r="E14" i="264" s="1"/>
  <c r="C16" i="193"/>
  <c r="E16" i="193" s="1"/>
  <c r="N4" i="201"/>
  <c r="C9" i="78"/>
  <c r="E9" i="78" s="1"/>
  <c r="N4" i="79"/>
  <c r="M122" i="3"/>
  <c r="G8" i="2" s="1"/>
  <c r="G16" i="2" s="1"/>
  <c r="C9" i="347"/>
  <c r="E9" i="347" s="1"/>
  <c r="N4" i="348"/>
  <c r="N4" i="194"/>
  <c r="C9" i="193"/>
  <c r="E9" i="193" s="1"/>
  <c r="N4" i="224"/>
  <c r="C10" i="222"/>
  <c r="E10" i="222" s="1"/>
  <c r="N4" i="280"/>
  <c r="C23" i="264"/>
  <c r="E23" i="264" s="1"/>
  <c r="N1" i="63"/>
  <c r="N4" i="63" s="1"/>
  <c r="C11" i="59" s="1"/>
  <c r="E11" i="59" s="1"/>
  <c r="K51" i="3"/>
  <c r="H51" i="3" s="1"/>
  <c r="N51" i="3" s="1"/>
  <c r="N1" i="60"/>
  <c r="N4" i="60" s="1"/>
  <c r="C9" i="59" s="1"/>
  <c r="E9" i="59" s="1"/>
  <c r="K49" i="3"/>
  <c r="H49" i="3" s="1"/>
  <c r="N49" i="3" s="1"/>
  <c r="N4" i="169"/>
  <c r="C12" i="165"/>
  <c r="E12" i="165" s="1"/>
  <c r="C13" i="264"/>
  <c r="E13" i="264" s="1"/>
  <c r="N4" i="270"/>
  <c r="C25" i="165"/>
  <c r="E25" i="165" s="1"/>
  <c r="N4" i="178"/>
  <c r="C16" i="206"/>
  <c r="E16" i="206" s="1"/>
  <c r="N4" i="220"/>
  <c r="C10" i="264"/>
  <c r="E10" i="264" s="1"/>
  <c r="N4" i="267"/>
  <c r="C10" i="249"/>
  <c r="E10" i="249" s="1"/>
  <c r="N4" i="252"/>
  <c r="N4" i="214"/>
  <c r="C13" i="206"/>
  <c r="E13" i="206" s="1"/>
  <c r="C21" i="165"/>
  <c r="E21" i="165" s="1"/>
  <c r="N4" i="185"/>
  <c r="N4" i="238"/>
  <c r="C24" i="222"/>
  <c r="E24" i="222" s="1"/>
  <c r="C17" i="264"/>
  <c r="E17" i="264" s="1"/>
  <c r="N4" i="274"/>
  <c r="N4" i="349"/>
  <c r="C10" i="347"/>
  <c r="E10" i="347" s="1"/>
  <c r="N4" i="251"/>
  <c r="C11" i="249"/>
  <c r="E11" i="249" s="1"/>
  <c r="N4" i="232"/>
  <c r="C18" i="222"/>
  <c r="E18" i="222" s="1"/>
  <c r="C11" i="202"/>
  <c r="E11" i="202" s="1"/>
  <c r="N4" i="205"/>
  <c r="N4" i="199"/>
  <c r="C14" i="193"/>
  <c r="E14" i="193" s="1"/>
  <c r="C11" i="259"/>
  <c r="E11" i="259" s="1"/>
  <c r="N4" i="262"/>
  <c r="C22" i="165"/>
  <c r="E22" i="165" s="1"/>
  <c r="N4" i="179"/>
  <c r="N4" i="198"/>
  <c r="C13" i="193"/>
  <c r="E13" i="193" s="1"/>
  <c r="C28" i="165"/>
  <c r="E28" i="165" s="1"/>
  <c r="N4" i="184"/>
  <c r="G14" i="2"/>
  <c r="C10" i="245"/>
  <c r="E10" i="245" s="1"/>
  <c r="E12" i="245" s="1"/>
  <c r="N1" i="245" s="1"/>
  <c r="N4" i="245" s="1"/>
  <c r="N4" i="247"/>
  <c r="N4" i="187"/>
  <c r="C30" i="165"/>
  <c r="E30" i="165" s="1"/>
  <c r="C26" i="222"/>
  <c r="E26" i="222" s="1"/>
  <c r="N4" i="240"/>
  <c r="C14" i="206"/>
  <c r="E14" i="206" s="1"/>
  <c r="N4" i="216"/>
  <c r="N4" i="299"/>
  <c r="C14" i="293"/>
  <c r="E14" i="293" s="1"/>
  <c r="C9" i="72"/>
  <c r="E9" i="72" s="1"/>
  <c r="E14" i="72" s="1"/>
  <c r="N1" i="72" s="1"/>
  <c r="N4" i="72" s="1"/>
  <c r="N4" i="73"/>
  <c r="N1" i="62"/>
  <c r="N4" i="62" s="1"/>
  <c r="C10" i="59" s="1"/>
  <c r="E10" i="59" s="1"/>
  <c r="K50" i="3"/>
  <c r="H50" i="3" s="1"/>
  <c r="N50" i="3" s="1"/>
  <c r="N122" i="3" s="1"/>
  <c r="H8" i="2" s="1"/>
  <c r="C29" i="165"/>
  <c r="E29" i="165" s="1"/>
  <c r="N4" i="181"/>
  <c r="N4" i="176"/>
  <c r="C24" i="165"/>
  <c r="E24" i="165" s="1"/>
  <c r="H124" i="3"/>
  <c r="N124" i="3" s="1"/>
  <c r="N4" i="36"/>
  <c r="C13" i="28"/>
  <c r="E13" i="28" s="1"/>
  <c r="C15" i="193"/>
  <c r="E15" i="193" s="1"/>
  <c r="N4" i="200"/>
  <c r="H363" i="3"/>
  <c r="N363" i="3" s="1"/>
  <c r="N369" i="3" s="1"/>
  <c r="N4" i="196"/>
  <c r="C11" i="193"/>
  <c r="E11" i="193" s="1"/>
  <c r="C11" i="347"/>
  <c r="E11" i="347" s="1"/>
  <c r="N4" i="350"/>
  <c r="N4" i="239"/>
  <c r="C25" i="222"/>
  <c r="E25" i="222" s="1"/>
  <c r="C22" i="264"/>
  <c r="E22" i="264" s="1"/>
  <c r="N4" i="279"/>
  <c r="N4" i="265"/>
  <c r="C9" i="264"/>
  <c r="E9" i="264" s="1"/>
  <c r="N4" i="168"/>
  <c r="N4" i="159" l="1"/>
  <c r="C10" i="157"/>
  <c r="E10" i="157" s="1"/>
  <c r="C12" i="375"/>
  <c r="E12" i="375" s="1"/>
  <c r="E13" i="375" s="1"/>
  <c r="N1" i="375" s="1"/>
  <c r="N4" i="375" s="1"/>
  <c r="N4" i="379"/>
  <c r="N4" i="160"/>
  <c r="C11" i="157"/>
  <c r="E11" i="157" s="1"/>
  <c r="E18" i="28"/>
  <c r="N1" i="28" s="1"/>
  <c r="N4" i="28" s="1"/>
  <c r="C15" i="157"/>
  <c r="E15" i="157" s="1"/>
  <c r="N4" i="164"/>
  <c r="C14" i="157"/>
  <c r="E14" i="157" s="1"/>
  <c r="N4" i="163"/>
  <c r="E19" i="78"/>
  <c r="N1" i="78" s="1"/>
  <c r="N4" i="78" s="1"/>
  <c r="E12" i="380"/>
  <c r="N1" i="380" s="1"/>
  <c r="N4" i="380" s="1"/>
  <c r="K203" i="3"/>
  <c r="E9" i="2" s="1"/>
  <c r="E18" i="47"/>
  <c r="N1" i="47" s="1"/>
  <c r="N4" i="47" s="1"/>
  <c r="N4" i="405"/>
  <c r="C12" i="399"/>
  <c r="E12" i="399" s="1"/>
  <c r="K357" i="3"/>
  <c r="E13" i="2" s="1"/>
  <c r="N4" i="294"/>
  <c r="C9" i="293"/>
  <c r="E9" i="293" s="1"/>
  <c r="C12" i="347"/>
  <c r="E12" i="347" s="1"/>
  <c r="E14" i="347" s="1"/>
  <c r="N1" i="347" s="1"/>
  <c r="N4" i="347" s="1"/>
  <c r="C13" i="118"/>
  <c r="E13" i="118" s="1"/>
  <c r="N4" i="125"/>
  <c r="C9" i="362"/>
  <c r="E9" i="362" s="1"/>
  <c r="N4" i="363"/>
  <c r="C20" i="222"/>
  <c r="E20" i="222" s="1"/>
  <c r="C9" i="152"/>
  <c r="N4" i="410"/>
  <c r="E22" i="92"/>
  <c r="N1" i="92" s="1"/>
  <c r="N4" i="92" s="1"/>
  <c r="N4" i="162"/>
  <c r="C13" i="157"/>
  <c r="E13" i="157" s="1"/>
  <c r="C12" i="157"/>
  <c r="E12" i="157" s="1"/>
  <c r="N4" i="161"/>
  <c r="N4" i="223"/>
  <c r="E12" i="202"/>
  <c r="N1" i="202" s="1"/>
  <c r="N4" i="202" s="1"/>
  <c r="E16" i="326"/>
  <c r="N1" i="326" s="1"/>
  <c r="N4" i="326" s="1"/>
  <c r="N4" i="30"/>
  <c r="C10" i="28"/>
  <c r="E10" i="28" s="1"/>
  <c r="C14" i="354"/>
  <c r="E14" i="354" s="1"/>
  <c r="N4" i="361"/>
  <c r="N4" i="341"/>
  <c r="C10" i="339"/>
  <c r="E10" i="339" s="1"/>
  <c r="C14" i="409"/>
  <c r="E14" i="409" s="1"/>
  <c r="N4" i="416"/>
  <c r="C13" i="302"/>
  <c r="E13" i="302" s="1"/>
  <c r="N4" i="308"/>
  <c r="C9" i="157"/>
  <c r="E9" i="157" s="1"/>
  <c r="N4" i="158"/>
  <c r="C14" i="222"/>
  <c r="E14" i="222" s="1"/>
  <c r="E28" i="222" s="1"/>
  <c r="N1" i="222" s="1"/>
  <c r="N4" i="222" s="1"/>
  <c r="N4" i="228"/>
  <c r="C13" i="409"/>
  <c r="E13" i="409" s="1"/>
  <c r="N4" i="415"/>
  <c r="N4" i="404"/>
  <c r="C11" i="399"/>
  <c r="E11" i="399" s="1"/>
  <c r="N4" i="417"/>
  <c r="C15" i="409"/>
  <c r="E15" i="409" s="1"/>
  <c r="C12" i="302"/>
  <c r="E12" i="302" s="1"/>
  <c r="N4" i="307"/>
  <c r="C14" i="399"/>
  <c r="E14" i="399" s="1"/>
  <c r="N4" i="407"/>
  <c r="C11" i="395"/>
  <c r="E11" i="395" s="1"/>
  <c r="N4" i="398"/>
  <c r="E17" i="362"/>
  <c r="N1" i="362" s="1"/>
  <c r="N4" i="362" s="1"/>
  <c r="C16" i="165"/>
  <c r="E16" i="165" s="1"/>
  <c r="N4" i="167"/>
  <c r="C10" i="127"/>
  <c r="E10" i="127" s="1"/>
  <c r="E13" i="127" s="1"/>
  <c r="N1" i="127" s="1"/>
  <c r="N4" i="127" s="1"/>
  <c r="N4" i="129"/>
  <c r="E19" i="302"/>
  <c r="N1" i="302" s="1"/>
  <c r="N4" i="302" s="1"/>
  <c r="E15" i="354"/>
  <c r="N1" i="354" s="1"/>
  <c r="N4" i="354" s="1"/>
  <c r="N4" i="177"/>
  <c r="N4" i="119"/>
  <c r="C9" i="118"/>
  <c r="E9" i="118" s="1"/>
  <c r="N4" i="298"/>
  <c r="C13" i="293"/>
  <c r="E13" i="293" s="1"/>
  <c r="J125" i="3"/>
  <c r="N1" i="149"/>
  <c r="N4" i="149" s="1"/>
  <c r="N4" i="413"/>
  <c r="C11" i="409"/>
  <c r="E11" i="409" s="1"/>
  <c r="E16" i="409" s="1"/>
  <c r="N1" i="409" s="1"/>
  <c r="N4" i="409" s="1"/>
  <c r="E15" i="137"/>
  <c r="N1" i="137" s="1"/>
  <c r="N4" i="137" s="1"/>
  <c r="E17" i="206"/>
  <c r="N1" i="206" s="1"/>
  <c r="N4" i="206" s="1"/>
  <c r="E12" i="395"/>
  <c r="N1" i="395" s="1"/>
  <c r="N4" i="395" s="1"/>
  <c r="E12" i="259"/>
  <c r="N1" i="259" s="1"/>
  <c r="N4" i="259" s="1"/>
  <c r="E17" i="109"/>
  <c r="N1" i="109" s="1"/>
  <c r="N4" i="109" s="1"/>
  <c r="C15" i="399"/>
  <c r="E15" i="399" s="1"/>
  <c r="N4" i="408"/>
  <c r="J122" i="3"/>
  <c r="D8" i="2" s="1"/>
  <c r="N4" i="295"/>
  <c r="C10" i="293"/>
  <c r="E10" i="293" s="1"/>
  <c r="E12" i="419"/>
  <c r="N1" i="419" s="1"/>
  <c r="N4" i="419" s="1"/>
  <c r="H261" i="3"/>
  <c r="N261" i="3" s="1"/>
  <c r="N285" i="3" s="1"/>
  <c r="H12" i="2" s="1"/>
  <c r="K285" i="3"/>
  <c r="E12" i="2" s="1"/>
  <c r="J357" i="3"/>
  <c r="D13" i="2" s="1"/>
  <c r="E14" i="13"/>
  <c r="N1" i="13" s="1"/>
  <c r="N4" i="13" s="1"/>
  <c r="E14" i="7"/>
  <c r="N1" i="7" s="1"/>
  <c r="N4" i="7" s="1"/>
  <c r="E24" i="264"/>
  <c r="N1" i="264" s="1"/>
  <c r="N4" i="264" s="1"/>
  <c r="M370" i="3"/>
  <c r="E17" i="59"/>
  <c r="N1" i="59" s="1"/>
  <c r="N4" i="59" s="1"/>
  <c r="H14" i="2"/>
  <c r="E17" i="193"/>
  <c r="N1" i="193" s="1"/>
  <c r="N4" i="193" s="1"/>
  <c r="E14" i="249"/>
  <c r="N1" i="249" s="1"/>
  <c r="N4" i="249" s="1"/>
  <c r="E14" i="2"/>
  <c r="E31" i="165"/>
  <c r="N1" i="165" s="1"/>
  <c r="N4" i="165" s="1"/>
  <c r="K122" i="3"/>
  <c r="E8" i="2" s="1"/>
  <c r="E16" i="2" s="1"/>
  <c r="E14" i="339"/>
  <c r="N1" i="339" s="1"/>
  <c r="N4" i="339" s="1"/>
  <c r="J203" i="3" l="1"/>
  <c r="H125" i="3"/>
  <c r="N125" i="3" s="1"/>
  <c r="N203" i="3" s="1"/>
  <c r="H9" i="2" s="1"/>
  <c r="E14" i="118"/>
  <c r="N1" i="118" s="1"/>
  <c r="N4" i="118" s="1"/>
  <c r="E16" i="399"/>
  <c r="N1" i="399" s="1"/>
  <c r="N4" i="399" s="1"/>
  <c r="E16" i="157"/>
  <c r="N1" i="157" s="1"/>
  <c r="N4" i="157" s="1"/>
  <c r="E16" i="293"/>
  <c r="N1" i="293" s="1"/>
  <c r="N4" i="293" s="1"/>
  <c r="N370" i="3"/>
  <c r="O1" i="3" s="1"/>
  <c r="K370" i="3"/>
  <c r="D9" i="2" l="1"/>
  <c r="D16" i="2" s="1"/>
  <c r="H16" i="2" s="1"/>
  <c r="J370" i="3"/>
</calcChain>
</file>

<file path=xl/sharedStrings.xml><?xml version="1.0" encoding="utf-8"?>
<sst xmlns="http://schemas.openxmlformats.org/spreadsheetml/2006/main" count="28984" uniqueCount="2951">
  <si>
    <t>Cost Summary Basics</t>
  </si>
  <si>
    <t>for:</t>
  </si>
  <si>
    <t>Area Totals</t>
  </si>
  <si>
    <t>Materials</t>
  </si>
  <si>
    <t>Processes</t>
  </si>
  <si>
    <t>Fasteners</t>
  </si>
  <si>
    <t>Tooling</t>
  </si>
  <si>
    <t>Total</t>
  </si>
  <si>
    <t>Brake System</t>
  </si>
  <si>
    <t>Engine &amp; Drivetrain</t>
  </si>
  <si>
    <t>Frame &amp; Body</t>
  </si>
  <si>
    <t>Instruments &amp; Wiring</t>
  </si>
  <si>
    <t>Miscellaneous, Fit &amp; Finish</t>
  </si>
  <si>
    <t>Steering System</t>
  </si>
  <si>
    <t>Suspension &amp; Shocks</t>
  </si>
  <si>
    <t>Wheels &amp; Tires</t>
  </si>
  <si>
    <t>Total Vehicle</t>
  </si>
  <si>
    <t>Composition for total vehicle:</t>
  </si>
  <si>
    <t>Tee mount</t>
  </si>
  <si>
    <t>Proportionning valve mount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</si>
  <si>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</si>
  <si>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</si>
  <si>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</si>
  <si>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</si>
  <si>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</si>
  <si>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</si>
  <si>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</si>
  <si>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</si>
  <si>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Quantity</t>
  </si>
  <si>
    <t>Material Cost</t>
  </si>
  <si>
    <t>Process Cost</t>
  </si>
  <si>
    <t>Fastener Cost</t>
  </si>
  <si>
    <t>Tooling Cost</t>
  </si>
  <si>
    <t>Total Cost</t>
  </si>
  <si>
    <t>Details Page Number</t>
  </si>
  <si>
    <t>BR A0001</t>
  </si>
  <si>
    <t>AA</t>
  </si>
  <si>
    <t>BR 01001</t>
  </si>
  <si>
    <t>Brake Rotor</t>
  </si>
  <si>
    <t>BR 01002</t>
  </si>
  <si>
    <t>Brake Shrink Disc</t>
  </si>
  <si>
    <t>BR 01003</t>
  </si>
  <si>
    <t>Brake Caliper</t>
  </si>
  <si>
    <t>BR 01004</t>
  </si>
  <si>
    <t>Brake pad</t>
  </si>
  <si>
    <t>BR 01005</t>
  </si>
  <si>
    <t>BR A0002</t>
  </si>
  <si>
    <t>Rear Brake Rotor</t>
  </si>
  <si>
    <t>BR 02001</t>
  </si>
  <si>
    <t>BR 02002</t>
  </si>
  <si>
    <t>BR 02003</t>
  </si>
  <si>
    <t>BR 02004</t>
  </si>
  <si>
    <t>BR 02005</t>
  </si>
  <si>
    <t>Brake Rotor button</t>
  </si>
  <si>
    <t>BR A0003</t>
  </si>
  <si>
    <t>Brake Line</t>
  </si>
  <si>
    <t>BR 03001</t>
  </si>
  <si>
    <t>Brake reservoir tab</t>
  </si>
  <si>
    <t>BR 03002</t>
  </si>
  <si>
    <t>Brake reservoir mount</t>
  </si>
  <si>
    <t>BR 03003</t>
  </si>
  <si>
    <t>Master Cylinder</t>
  </si>
  <si>
    <t>BR 03004</t>
  </si>
  <si>
    <t>Balance Bar</t>
  </si>
  <si>
    <t>BR 03005</t>
  </si>
  <si>
    <t>BR 03006</t>
  </si>
  <si>
    <t>Area Total</t>
  </si>
  <si>
    <t>EN A0001</t>
  </si>
  <si>
    <t>Engine</t>
  </si>
  <si>
    <t>EN 01001</t>
  </si>
  <si>
    <t xml:space="preserve">Honda PC37 Engine </t>
  </si>
  <si>
    <t>EN 01002</t>
  </si>
  <si>
    <t>EN 01003</t>
  </si>
  <si>
    <t>EN 01004</t>
  </si>
  <si>
    <t>EN 01005</t>
  </si>
  <si>
    <t>EN 01006</t>
  </si>
  <si>
    <t>EN 01007</t>
  </si>
  <si>
    <t>EN 01008</t>
  </si>
  <si>
    <t>Spacer</t>
  </si>
  <si>
    <t>EN 01009</t>
  </si>
  <si>
    <t>EN A0002</t>
  </si>
  <si>
    <t>Exhaust System</t>
  </si>
  <si>
    <t>EN 02001</t>
  </si>
  <si>
    <t>Exhaust tip</t>
  </si>
  <si>
    <t>EN 02002</t>
  </si>
  <si>
    <t>EN 02003</t>
  </si>
  <si>
    <t>EN 02004</t>
  </si>
  <si>
    <t>EN 02005</t>
  </si>
  <si>
    <t>EN 02006</t>
  </si>
  <si>
    <t>Muffler</t>
  </si>
  <si>
    <t>EN 02007</t>
  </si>
  <si>
    <t>EN 02008</t>
  </si>
  <si>
    <t>EN 02009</t>
  </si>
  <si>
    <t>EN A0003</t>
  </si>
  <si>
    <t>Fuel Tank</t>
  </si>
  <si>
    <t>EN 03001</t>
  </si>
  <si>
    <t xml:space="preserve">Fuel Tank </t>
  </si>
  <si>
    <t>EN 03002</t>
  </si>
  <si>
    <t>Filler neck</t>
  </si>
  <si>
    <t>EN 03003</t>
  </si>
  <si>
    <t>Filler neck cap</t>
  </si>
  <si>
    <t>EN 03004</t>
  </si>
  <si>
    <t>Rear tab</t>
  </si>
  <si>
    <t>EN 03005</t>
  </si>
  <si>
    <t>Front tab</t>
  </si>
  <si>
    <t>EN 03006</t>
  </si>
  <si>
    <t>Filler neck mount</t>
  </si>
  <si>
    <t>EN 03007</t>
  </si>
  <si>
    <t>Filler neck collar</t>
  </si>
  <si>
    <t>EN A0004</t>
  </si>
  <si>
    <t>Fuel System</t>
  </si>
  <si>
    <t>EN 04001</t>
  </si>
  <si>
    <t>Primary Fuel Rail</t>
  </si>
  <si>
    <t>EN 04002</t>
  </si>
  <si>
    <t>EN 04003</t>
  </si>
  <si>
    <t>EN 04004</t>
  </si>
  <si>
    <t>EN 04005</t>
  </si>
  <si>
    <t>EN A0005</t>
  </si>
  <si>
    <t>Air Intake System</t>
  </si>
  <si>
    <t>EN 05001</t>
  </si>
  <si>
    <t>EN 05002</t>
  </si>
  <si>
    <t>EN 05003</t>
  </si>
  <si>
    <t>EN 05004</t>
  </si>
  <si>
    <t>EN 05005</t>
  </si>
  <si>
    <t>EN 05006</t>
  </si>
  <si>
    <t>EN 05007</t>
  </si>
  <si>
    <t>EN 05008</t>
  </si>
  <si>
    <t>EN 05009</t>
  </si>
  <si>
    <t>EN A0006</t>
  </si>
  <si>
    <t>Throttle Body</t>
  </si>
  <si>
    <t>EN 06001</t>
  </si>
  <si>
    <t>EN 06002</t>
  </si>
  <si>
    <t>Restrictor</t>
  </si>
  <si>
    <t>EN 06003</t>
  </si>
  <si>
    <t>EN 06004</t>
  </si>
  <si>
    <t>EN 06005</t>
  </si>
  <si>
    <t>EN 06006</t>
  </si>
  <si>
    <t>EN 06007</t>
  </si>
  <si>
    <t>EN 06008</t>
  </si>
  <si>
    <t>EN 06009</t>
  </si>
  <si>
    <t>EN 06010</t>
  </si>
  <si>
    <t>Tab</t>
  </si>
  <si>
    <t>EN 06011</t>
  </si>
  <si>
    <t>EN 06012</t>
  </si>
  <si>
    <t>EN 06013</t>
  </si>
  <si>
    <t>EN A0007</t>
  </si>
  <si>
    <t>Overflow Bottles</t>
  </si>
  <si>
    <t>EN 07001</t>
  </si>
  <si>
    <t>EN 07002</t>
  </si>
  <si>
    <t>EN A0008</t>
  </si>
  <si>
    <t>Cooling System</t>
  </si>
  <si>
    <t>EN 08001</t>
  </si>
  <si>
    <t>EN 08002</t>
  </si>
  <si>
    <t>Radiator</t>
  </si>
  <si>
    <t>EN 08003</t>
  </si>
  <si>
    <t>Fan</t>
  </si>
  <si>
    <t>EN 08004</t>
  </si>
  <si>
    <t>Expansion Tank</t>
  </si>
  <si>
    <t>EN 08005</t>
  </si>
  <si>
    <t>EN 08006</t>
  </si>
  <si>
    <t>EN 08007</t>
  </si>
  <si>
    <t>EN 08008</t>
  </si>
  <si>
    <t>EN A0009</t>
  </si>
  <si>
    <t>Differential</t>
  </si>
  <si>
    <t>EN 09001</t>
  </si>
  <si>
    <t>Housing</t>
  </si>
  <si>
    <t>EN 09002</t>
  </si>
  <si>
    <t>Internals</t>
  </si>
  <si>
    <t>EN 09003</t>
  </si>
  <si>
    <t>EN 09004</t>
  </si>
  <si>
    <t>EN 09005</t>
  </si>
  <si>
    <t>EN A0010</t>
  </si>
  <si>
    <t>Driveshaft</t>
  </si>
  <si>
    <t>EN 10001</t>
  </si>
  <si>
    <t>EN 10002</t>
  </si>
  <si>
    <t>EN 10003</t>
  </si>
  <si>
    <t>EN 10004</t>
  </si>
  <si>
    <t>EN A0011</t>
  </si>
  <si>
    <t>EN 11001</t>
  </si>
  <si>
    <t>EN 11002</t>
  </si>
  <si>
    <t>EN 11003</t>
  </si>
  <si>
    <t>EN A0012</t>
  </si>
  <si>
    <t>EN 12001</t>
  </si>
  <si>
    <t>EN 12002</t>
  </si>
  <si>
    <t>Chain Set</t>
  </si>
  <si>
    <t>FR A0001</t>
  </si>
  <si>
    <t>Frame</t>
  </si>
  <si>
    <t>FR 01001</t>
  </si>
  <si>
    <t>Bent Round Steel Tubing</t>
  </si>
  <si>
    <t>FR 01002</t>
  </si>
  <si>
    <t>Straight Round Steel Tubing</t>
  </si>
  <si>
    <t>FR 01003</t>
  </si>
  <si>
    <t>Jacking Point Tab</t>
  </si>
  <si>
    <t>FR A0002</t>
  </si>
  <si>
    <t>Impact Attenuator</t>
  </si>
  <si>
    <t>FR 02001</t>
  </si>
  <si>
    <t>Attenuator</t>
  </si>
  <si>
    <t>FR 02002</t>
  </si>
  <si>
    <t>Anti-Intrusion Plate</t>
  </si>
  <si>
    <t>FR A0003</t>
  </si>
  <si>
    <t>Floor Close-out</t>
  </si>
  <si>
    <t>FR 03001</t>
  </si>
  <si>
    <t>Front Floor Pan</t>
  </si>
  <si>
    <t>FR 03002</t>
  </si>
  <si>
    <t>Middle Floor Pan</t>
  </si>
  <si>
    <t>FR 03003</t>
  </si>
  <si>
    <t>FR 03004</t>
  </si>
  <si>
    <t>FR 03005</t>
  </si>
  <si>
    <t>FR 03006</t>
  </si>
  <si>
    <t>FR 03007</t>
  </si>
  <si>
    <t>FR A0004</t>
  </si>
  <si>
    <t>Pedal Assembly</t>
  </si>
  <si>
    <t>FR 04001</t>
  </si>
  <si>
    <t>Pedal Rail</t>
  </si>
  <si>
    <t>FR 04002</t>
  </si>
  <si>
    <t>Pedal Bushing</t>
  </si>
  <si>
    <t>FR 04003</t>
  </si>
  <si>
    <t>Pedal Base</t>
  </si>
  <si>
    <t>FR 04004</t>
  </si>
  <si>
    <t>Brake Pedal</t>
  </si>
  <si>
    <t>FR 04005</t>
  </si>
  <si>
    <t>Brake Pedal Bracket</t>
  </si>
  <si>
    <t>FR 04006</t>
  </si>
  <si>
    <t>Brake Pedal Pivot</t>
  </si>
  <si>
    <t>FR 04007</t>
  </si>
  <si>
    <t>Brake Pedal Pad</t>
  </si>
  <si>
    <t>FR 04008</t>
  </si>
  <si>
    <t>Throttle Pedal</t>
  </si>
  <si>
    <t>FR 04009</t>
  </si>
  <si>
    <t>Throttle Pedal Bracket</t>
  </si>
  <si>
    <t>FR 04010</t>
  </si>
  <si>
    <t>Throttle Pedal Pivot</t>
  </si>
  <si>
    <t>FR 04011</t>
  </si>
  <si>
    <t>Throttle Pedal Pad</t>
  </si>
  <si>
    <t>FR 04012</t>
  </si>
  <si>
    <t>FR 04013</t>
  </si>
  <si>
    <t>FR 04014</t>
  </si>
  <si>
    <t>FR 04015</t>
  </si>
  <si>
    <t>FR 04016</t>
  </si>
  <si>
    <t>FR 04017</t>
  </si>
  <si>
    <t>FR 04018</t>
  </si>
  <si>
    <t>FR 04019</t>
  </si>
  <si>
    <t>FR 04020</t>
  </si>
  <si>
    <t>FR 04021</t>
  </si>
  <si>
    <t>FR 04022</t>
  </si>
  <si>
    <t>Plastic spacer</t>
  </si>
  <si>
    <t>FR A0005</t>
  </si>
  <si>
    <t>Clutch Actuation System</t>
  </si>
  <si>
    <t>FR 05001</t>
  </si>
  <si>
    <t>FR 05002</t>
  </si>
  <si>
    <t>FR 05003</t>
  </si>
  <si>
    <t>FR 05004</t>
  </si>
  <si>
    <t>FR 05005</t>
  </si>
  <si>
    <t>FR 05006</t>
  </si>
  <si>
    <t>FR 05007</t>
  </si>
  <si>
    <t>FR A0006</t>
  </si>
  <si>
    <t>Shifter</t>
  </si>
  <si>
    <t>FR 06001</t>
  </si>
  <si>
    <t>FR 06002</t>
  </si>
  <si>
    <t>FR 06003</t>
  </si>
  <si>
    <t>FR A0007</t>
  </si>
  <si>
    <t>Body</t>
  </si>
  <si>
    <t>FR 07001</t>
  </si>
  <si>
    <t>FR 07002</t>
  </si>
  <si>
    <t>Front Mount 1</t>
  </si>
  <si>
    <t>FR 07003</t>
  </si>
  <si>
    <t>Front Mount 2</t>
  </si>
  <si>
    <t>FR 07004</t>
  </si>
  <si>
    <t>Front Mount 3</t>
  </si>
  <si>
    <t>FR 07005</t>
  </si>
  <si>
    <t>Front Lateral Mount 1</t>
  </si>
  <si>
    <t>FR 07006</t>
  </si>
  <si>
    <t>Front Lateral Mount 2</t>
  </si>
  <si>
    <t>FR 07007</t>
  </si>
  <si>
    <t>Front Lateral Mount 3</t>
  </si>
  <si>
    <t>FR 07008</t>
  </si>
  <si>
    <t>Rear Lateral Mount 1</t>
  </si>
  <si>
    <t>Rear Lateral Mount 2</t>
  </si>
  <si>
    <t>Rear Lateral Mount 3</t>
  </si>
  <si>
    <t>Rear Lateral Mount 4</t>
  </si>
  <si>
    <t>Air Inlet Mount 1</t>
  </si>
  <si>
    <t>Air Inlet Mount 2</t>
  </si>
  <si>
    <t>Air Inlet Mount 3</t>
  </si>
  <si>
    <t>Air Inlet Mount 4</t>
  </si>
  <si>
    <t>Air inlet reinforcement</t>
  </si>
  <si>
    <t>Electrical</t>
  </si>
  <si>
    <t>EL A0001</t>
  </si>
  <si>
    <t>Battery Assembly</t>
  </si>
  <si>
    <t>EL 01001</t>
  </si>
  <si>
    <t>EL 01002</t>
  </si>
  <si>
    <t>EL 01003</t>
  </si>
  <si>
    <t>EL A0002</t>
  </si>
  <si>
    <t>Dashboard Assembly</t>
  </si>
  <si>
    <t>EL 02001</t>
  </si>
  <si>
    <t>Dashboard</t>
  </si>
  <si>
    <t>EL 02002</t>
  </si>
  <si>
    <t>Gear Indicator</t>
  </si>
  <si>
    <t>EL 02003</t>
  </si>
  <si>
    <t>EL 02004</t>
  </si>
  <si>
    <t>EL A0003</t>
  </si>
  <si>
    <t>Forward Wiring Harness</t>
  </si>
  <si>
    <t>EL 03001</t>
  </si>
  <si>
    <t>EL A0004</t>
  </si>
  <si>
    <t>Rear Wiring Harness</t>
  </si>
  <si>
    <t>EL 04001</t>
  </si>
  <si>
    <t>EL 04002</t>
  </si>
  <si>
    <t>EL 04003</t>
  </si>
  <si>
    <t>MS A0001</t>
  </si>
  <si>
    <t>Firewall</t>
  </si>
  <si>
    <t>MS 01001</t>
  </si>
  <si>
    <t>MS 01002</t>
  </si>
  <si>
    <t>MS 01003</t>
  </si>
  <si>
    <t>MS 01004</t>
  </si>
  <si>
    <t>MS 01005</t>
  </si>
  <si>
    <t>MS 01006</t>
  </si>
  <si>
    <t>MS 01007</t>
  </si>
  <si>
    <t>MS 01008</t>
  </si>
  <si>
    <t>Tab 1</t>
  </si>
  <si>
    <t>MS 01009</t>
  </si>
  <si>
    <t>Tab 2</t>
  </si>
  <si>
    <t>MS 01010</t>
  </si>
  <si>
    <t>Tab 3-4</t>
  </si>
  <si>
    <t>MS 01011</t>
  </si>
  <si>
    <t>Tab 5-9</t>
  </si>
  <si>
    <t>MS 01012</t>
  </si>
  <si>
    <t>Tab 6</t>
  </si>
  <si>
    <t>MS 01013</t>
  </si>
  <si>
    <t>Tab 7</t>
  </si>
  <si>
    <t>MS 01014</t>
  </si>
  <si>
    <t>Tab 8</t>
  </si>
  <si>
    <t>MS 01015</t>
  </si>
  <si>
    <t>Tab 10</t>
  </si>
  <si>
    <t>MS A0002</t>
  </si>
  <si>
    <t>Harness</t>
  </si>
  <si>
    <t>MS 02001</t>
  </si>
  <si>
    <t>Harness tab</t>
  </si>
  <si>
    <t>MS A0003</t>
  </si>
  <si>
    <t>Headrest</t>
  </si>
  <si>
    <t>MS 03001</t>
  </si>
  <si>
    <t>Headrest back plate</t>
  </si>
  <si>
    <t>MS 03002</t>
  </si>
  <si>
    <t>Side tab</t>
  </si>
  <si>
    <t>MS 03003</t>
  </si>
  <si>
    <t>Bottom tab</t>
  </si>
  <si>
    <t>MS 03004</t>
  </si>
  <si>
    <t>Upper plate</t>
  </si>
  <si>
    <t>MS 03005</t>
  </si>
  <si>
    <t>Bottom plate</t>
  </si>
  <si>
    <t>MS A0004</t>
  </si>
  <si>
    <t>Safety</t>
  </si>
  <si>
    <t>MS 04001</t>
  </si>
  <si>
    <t>Roll Bar Padding</t>
  </si>
  <si>
    <t>MS A0005</t>
  </si>
  <si>
    <t>Seat</t>
  </si>
  <si>
    <t>MS 05001</t>
  </si>
  <si>
    <t>MS 05002</t>
  </si>
  <si>
    <t>MS 05003</t>
  </si>
  <si>
    <t>MS 05004</t>
  </si>
  <si>
    <t>MS 05005</t>
  </si>
  <si>
    <t>Lower Seat Mount</t>
  </si>
  <si>
    <t>MS 05006</t>
  </si>
  <si>
    <t>MS 05007</t>
  </si>
  <si>
    <t>ST A0001</t>
  </si>
  <si>
    <t>Steering Column</t>
  </si>
  <si>
    <t>ST 01001</t>
  </si>
  <si>
    <t>Column Tab</t>
  </si>
  <si>
    <t>ST 01002</t>
  </si>
  <si>
    <t>Column Mount</t>
  </si>
  <si>
    <t>ST 01003</t>
  </si>
  <si>
    <t>Column Mount Washer</t>
  </si>
  <si>
    <t>ST 01004</t>
  </si>
  <si>
    <t>ST 01005</t>
  </si>
  <si>
    <t>Steering Wheel Mount</t>
  </si>
  <si>
    <t>ST 01006</t>
  </si>
  <si>
    <t>Steering Wheel</t>
  </si>
  <si>
    <t>ST 01007</t>
  </si>
  <si>
    <t>First Column Tube</t>
  </si>
  <si>
    <t>ST 01008</t>
  </si>
  <si>
    <t>Second Column Tube</t>
  </si>
  <si>
    <t>ST 01009</t>
  </si>
  <si>
    <t>Third Column Tube</t>
  </si>
  <si>
    <t>ST A0002</t>
  </si>
  <si>
    <t>Quick Release</t>
  </si>
  <si>
    <t>ST 02001</t>
  </si>
  <si>
    <t>Quick Release Mount</t>
  </si>
  <si>
    <t>ST 02002</t>
  </si>
  <si>
    <t>Quick Release Sliding Part</t>
  </si>
  <si>
    <t>ST 02003</t>
  </si>
  <si>
    <t>Quick Release Fixed Part</t>
  </si>
  <si>
    <t>ST A0003</t>
  </si>
  <si>
    <t>Tie Rod Assembly</t>
  </si>
  <si>
    <t>ST 03001</t>
  </si>
  <si>
    <t>Tie Rod Insert</t>
  </si>
  <si>
    <t>ST 03002</t>
  </si>
  <si>
    <t>Upright Tapered Spacer</t>
  </si>
  <si>
    <t>ST 03003</t>
  </si>
  <si>
    <t>Rack Tapered Spacer</t>
  </si>
  <si>
    <t>ST 03004</t>
  </si>
  <si>
    <t>Rod Tube</t>
  </si>
  <si>
    <t>ST A0004</t>
  </si>
  <si>
    <t>Steering Rack Assembly</t>
  </si>
  <si>
    <t>ST 04001</t>
  </si>
  <si>
    <t>Rack</t>
  </si>
  <si>
    <t>ST 04002</t>
  </si>
  <si>
    <t>ST 04003</t>
  </si>
  <si>
    <t>Rack Housing</t>
  </si>
  <si>
    <t>ST 04004</t>
  </si>
  <si>
    <t>ST 04005</t>
  </si>
  <si>
    <t>Upper Rack Mount</t>
  </si>
  <si>
    <t>ST 04006</t>
  </si>
  <si>
    <t>ST 04007</t>
  </si>
  <si>
    <t>Suspension</t>
  </si>
  <si>
    <t>SU A0001</t>
  </si>
  <si>
    <t>Lower Front A-Arms</t>
  </si>
  <si>
    <t>SU 01001</t>
  </si>
  <si>
    <t>Lower Front A arm mounts</t>
  </si>
  <si>
    <t>SU 01002</t>
  </si>
  <si>
    <t>Simple insert</t>
  </si>
  <si>
    <t>SU 01003</t>
  </si>
  <si>
    <t>Bearing support</t>
  </si>
  <si>
    <t>SU 01004</t>
  </si>
  <si>
    <t>SU 01005</t>
  </si>
  <si>
    <t>SU A0002</t>
  </si>
  <si>
    <t>Upper Front A-Arms</t>
  </si>
  <si>
    <t>SU 02001</t>
  </si>
  <si>
    <t>Upper Front A arm mounts</t>
  </si>
  <si>
    <t>SU 02002</t>
  </si>
  <si>
    <t>SU 02003</t>
  </si>
  <si>
    <t>SU 02004</t>
  </si>
  <si>
    <t>SU 02005</t>
  </si>
  <si>
    <t>SU A0003</t>
  </si>
  <si>
    <t>Lower Rear A-Arms</t>
  </si>
  <si>
    <t>SU 03001</t>
  </si>
  <si>
    <t>SU 03002</t>
  </si>
  <si>
    <t>SU 03003</t>
  </si>
  <si>
    <t>SU 03004</t>
  </si>
  <si>
    <t>SU 03005</t>
  </si>
  <si>
    <t>SU 03006</t>
  </si>
  <si>
    <t>SU A0004</t>
  </si>
  <si>
    <t>Upper Rear A-Arms / Pullrods</t>
  </si>
  <si>
    <t>SU 04001</t>
  </si>
  <si>
    <t>SU 04002</t>
  </si>
  <si>
    <t>SU 04003</t>
  </si>
  <si>
    <t>SU 04004</t>
  </si>
  <si>
    <t>SU 04005</t>
  </si>
  <si>
    <t>SU 04006</t>
  </si>
  <si>
    <t>SU 04007</t>
  </si>
  <si>
    <t>SU A0005</t>
  </si>
  <si>
    <t>Front Suspension</t>
  </si>
  <si>
    <t>SU 05001</t>
  </si>
  <si>
    <t>Dampers</t>
  </si>
  <si>
    <t>SU 05002</t>
  </si>
  <si>
    <t>Springs</t>
  </si>
  <si>
    <t>SU 05003</t>
  </si>
  <si>
    <t>SU A0006</t>
  </si>
  <si>
    <t>Front Rocker</t>
  </si>
  <si>
    <t>SU 06001</t>
  </si>
  <si>
    <t>SU 06002</t>
  </si>
  <si>
    <t>Cylinder</t>
  </si>
  <si>
    <t>SU 06003</t>
  </si>
  <si>
    <t>Bushing</t>
  </si>
  <si>
    <t>SU 06004</t>
  </si>
  <si>
    <t>SU A0007</t>
  </si>
  <si>
    <t>Front Tie-Rod</t>
  </si>
  <si>
    <t>SU 07001</t>
  </si>
  <si>
    <t>SU 07002</t>
  </si>
  <si>
    <t>SU 07003</t>
  </si>
  <si>
    <t>SU A0008</t>
  </si>
  <si>
    <t>Rear Suspension</t>
  </si>
  <si>
    <t>SU 08001</t>
  </si>
  <si>
    <t>SU 08002</t>
  </si>
  <si>
    <t>SU 08003</t>
  </si>
  <si>
    <t>SU A0009</t>
  </si>
  <si>
    <t>Rear Rocker</t>
  </si>
  <si>
    <t>SU 09001</t>
  </si>
  <si>
    <t>SU 09002</t>
  </si>
  <si>
    <t>SU 09003</t>
  </si>
  <si>
    <t>SU 09004</t>
  </si>
  <si>
    <t>SU A0010</t>
  </si>
  <si>
    <t>Rear Tie-Rod</t>
  </si>
  <si>
    <t>SU 10001</t>
  </si>
  <si>
    <t>SU 10002</t>
  </si>
  <si>
    <t>SU 10003</t>
  </si>
  <si>
    <t>SU A0011</t>
  </si>
  <si>
    <t>Front Uprights Assembly</t>
  </si>
  <si>
    <t>SU 11001</t>
  </si>
  <si>
    <t>Front Uprights</t>
  </si>
  <si>
    <t>SU 11002</t>
  </si>
  <si>
    <t>Steering Tab</t>
  </si>
  <si>
    <t>SU 11003</t>
  </si>
  <si>
    <t>Upper Tab</t>
  </si>
  <si>
    <t>SU 11004</t>
  </si>
  <si>
    <t>SU 11005</t>
  </si>
  <si>
    <t>Lower Spacer</t>
  </si>
  <si>
    <t>SU 11006</t>
  </si>
  <si>
    <t>Upper Spacer</t>
  </si>
  <si>
    <t>SU A0012</t>
  </si>
  <si>
    <t>Rear Uprights Assembly</t>
  </si>
  <si>
    <t>SU 12001</t>
  </si>
  <si>
    <t>Rear Uprights</t>
  </si>
  <si>
    <t>SU 12002</t>
  </si>
  <si>
    <t>SU 12003</t>
  </si>
  <si>
    <t>SU 12004</t>
  </si>
  <si>
    <t>SU 12005</t>
  </si>
  <si>
    <t>WT A0001</t>
  </si>
  <si>
    <t>Wheel Assembly</t>
  </si>
  <si>
    <t>WT 01001</t>
  </si>
  <si>
    <t>Wheels</t>
  </si>
  <si>
    <t>WT 01002</t>
  </si>
  <si>
    <t>Tires</t>
  </si>
  <si>
    <t>WT 01003</t>
  </si>
  <si>
    <t>WT A0002</t>
  </si>
  <si>
    <t>Front Hubs</t>
  </si>
  <si>
    <t>WT 02001</t>
  </si>
  <si>
    <t>Front Hub</t>
  </si>
  <si>
    <t>WT 02002</t>
  </si>
  <si>
    <t>Bearings</t>
  </si>
  <si>
    <t>WT A0003</t>
  </si>
  <si>
    <t>Rear Hubs</t>
  </si>
  <si>
    <t>WT 03001</t>
  </si>
  <si>
    <t>Rear Hub</t>
  </si>
  <si>
    <t>WT 03002</t>
  </si>
  <si>
    <t>Vehicle Total</t>
  </si>
  <si>
    <t>University</t>
  </si>
  <si>
    <t>Ecole Centrale de Lyon</t>
  </si>
  <si>
    <t>Total Vehicle Cost</t>
  </si>
  <si>
    <t>Competition Code</t>
  </si>
  <si>
    <t>Year</t>
  </si>
  <si>
    <t>Car #</t>
  </si>
  <si>
    <t>081</t>
  </si>
  <si>
    <t>Ecole Cenrale de Lyon</t>
  </si>
  <si>
    <t>Asm Cost</t>
  </si>
  <si>
    <t>System</t>
  </si>
  <si>
    <t>Qty</t>
  </si>
  <si>
    <t>Assembly</t>
  </si>
  <si>
    <t>Front brake rotor</t>
  </si>
  <si>
    <t>FileLink1</t>
  </si>
  <si>
    <t>P/N Base</t>
  </si>
  <si>
    <t>FileLink2</t>
  </si>
  <si>
    <t>Extended Cost</t>
  </si>
  <si>
    <t>Suffix</t>
  </si>
  <si>
    <t>FileLink3</t>
  </si>
  <si>
    <t>Details</t>
  </si>
  <si>
    <t>Front brake Rotor Assembly</t>
  </si>
  <si>
    <t>ItemOrder</t>
  </si>
  <si>
    <t>Part</t>
  </si>
  <si>
    <t>Part Cost</t>
  </si>
  <si>
    <t>Sub Total</t>
  </si>
  <si>
    <t>Process</t>
  </si>
  <si>
    <t>Use</t>
  </si>
  <si>
    <t>UnitCost</t>
  </si>
  <si>
    <t>Unit</t>
  </si>
  <si>
    <t>Multiplier</t>
  </si>
  <si>
    <t>Mult. Val.</t>
  </si>
  <si>
    <t>Assemble,1kg, Line on Line</t>
  </si>
  <si>
    <t>Line up Pads</t>
  </si>
  <si>
    <t>unit</t>
  </si>
  <si>
    <t>Assemble, 1 kg, Loose</t>
  </si>
  <si>
    <t>Put caliper in place</t>
  </si>
  <si>
    <t>Ratchet &lt;= 25.4 mm</t>
  </si>
  <si>
    <t>Bolt caliper to upright</t>
  </si>
  <si>
    <t>Assemble Brake Rotors and Shrink discs</t>
  </si>
  <si>
    <t>Assemble,1kg, Loose</t>
  </si>
  <si>
    <t>Insert buttons and washers</t>
  </si>
  <si>
    <t>Retaining rings</t>
  </si>
  <si>
    <t>Assemble Brake Rotor onto hub</t>
  </si>
  <si>
    <t>Fastener</t>
  </si>
  <si>
    <t>Size1</t>
  </si>
  <si>
    <t>Unit1</t>
  </si>
  <si>
    <t>Size2</t>
  </si>
  <si>
    <t>Unit2</t>
  </si>
  <si>
    <t>Bolt,Grade 8.8 (SAE)</t>
  </si>
  <si>
    <t>Calipers in Uprights</t>
  </si>
  <si>
    <t>mm</t>
  </si>
  <si>
    <t>Washer, Grade 8.8 (SAE 5)</t>
  </si>
  <si>
    <t>Retaining Ring, External</t>
  </si>
  <si>
    <t>Safety wire</t>
  </si>
  <si>
    <t>Safety wire for calipers bolts</t>
  </si>
  <si>
    <t>Brake system</t>
  </si>
  <si>
    <t>Front brake Rotor</t>
  </si>
  <si>
    <t>Cast iron brake disc</t>
  </si>
  <si>
    <t>Material</t>
  </si>
  <si>
    <t>Area Name</t>
  </si>
  <si>
    <t>Area</t>
  </si>
  <si>
    <t>Length</t>
  </si>
  <si>
    <t>Density</t>
  </si>
  <si>
    <t>Cast Iron (per kg)</t>
  </si>
  <si>
    <t>Stock material for brake rotor</t>
  </si>
  <si>
    <t>circle area</t>
  </si>
  <si>
    <t>Machining Setup, Install and remove</t>
  </si>
  <si>
    <t>Setup for laser cut</t>
  </si>
  <si>
    <t>Laser Cut</t>
  </si>
  <si>
    <t>Cutout shape</t>
  </si>
  <si>
    <t>cm</t>
  </si>
  <si>
    <t>Material - Cast Iron</t>
  </si>
  <si>
    <t>Allows brake rotor to be mounted floating</t>
  </si>
  <si>
    <t>Steel, Mild (per kg)</t>
  </si>
  <si>
    <t>Stock material for brake shrink disc</t>
  </si>
  <si>
    <t>Material - Steel</t>
  </si>
  <si>
    <t>Beringer 2D1</t>
  </si>
  <si>
    <t>Brake Caliper, Beringer, 2D1</t>
  </si>
  <si>
    <t xml:space="preserve">Beringer 2547S </t>
  </si>
  <si>
    <t>Brake Pad, Iron or Steel Rotor</t>
  </si>
  <si>
    <t>Rectangular area</t>
  </si>
  <si>
    <t>Brake rotor button</t>
  </si>
  <si>
    <t>Button used to assemble floating rotor on shrink disc</t>
  </si>
  <si>
    <t>Steel, Mild</t>
  </si>
  <si>
    <t>Material for part</t>
  </si>
  <si>
    <t>Round, radius 6mm</t>
  </si>
  <si>
    <t>Machining</t>
  </si>
  <si>
    <t>cm^3</t>
  </si>
  <si>
    <t>Material - steel</t>
  </si>
  <si>
    <t>Rear brake rotor</t>
  </si>
  <si>
    <t>Rear Brake Rotor Assembly</t>
  </si>
  <si>
    <t>Put calipers in place</t>
  </si>
  <si>
    <t>Bolt calipers to upright</t>
  </si>
  <si>
    <t>Reaction Tool &lt;= 25.4 mm</t>
  </si>
  <si>
    <t>Tighten the M8 nuts</t>
  </si>
  <si>
    <t>Nut, Grade 8.8 (SAE 5)</t>
  </si>
  <si>
    <t>Rear brake Rotor</t>
  </si>
  <si>
    <t>rectangular area</t>
  </si>
  <si>
    <t xml:space="preserve">Brake System </t>
  </si>
  <si>
    <t>Brake circuit</t>
  </si>
  <si>
    <t>Brake Line Assembly</t>
  </si>
  <si>
    <t>Brake reservoir protection</t>
  </si>
  <si>
    <t>Paint</t>
  </si>
  <si>
    <t>Protect steel tabs and mounts from rust</t>
  </si>
  <si>
    <t>m^2</t>
  </si>
  <si>
    <t>Banjo Fitting, 45 Deg., Aluminum</t>
  </si>
  <si>
    <t>Brake line</t>
  </si>
  <si>
    <t>Banjo Fitting, Aluminum</t>
  </si>
  <si>
    <t>Banjo Bolt, 
Aluminum</t>
  </si>
  <si>
    <t>Fitting/L.P./Tee/Flare-Flare-Pipe/Steel/</t>
  </si>
  <si>
    <t>Tee to split the right and left brake line</t>
  </si>
  <si>
    <t>Fitting/H.P./Straight//Steel/</t>
  </si>
  <si>
    <t>Brake Light Pressure Switch Banjo Bolt</t>
  </si>
  <si>
    <t>Brake light</t>
  </si>
  <si>
    <t>Crush Washer</t>
  </si>
  <si>
    <t>Hydraulic Fluid Reservoir, Remote (Plastic)</t>
  </si>
  <si>
    <t>Brake fluid reservoir</t>
  </si>
  <si>
    <t>Hose, High Pressure, Stainless Steel Braided Outer</t>
  </si>
  <si>
    <t>Brake line between Master Cylinder and calipers</t>
  </si>
  <si>
    <t>Hose, Rubber</t>
  </si>
  <si>
    <t>Brake line between Master Cylinder and Reservoirs</t>
  </si>
  <si>
    <t>m</t>
  </si>
  <si>
    <t>Heat Shrink Tubing</t>
  </si>
  <si>
    <t>To put on the end of the HP Hose</t>
  </si>
  <si>
    <t>Fluid,Oil</t>
  </si>
  <si>
    <t>Hydraulic (brake)</t>
  </si>
  <si>
    <t>liter</t>
  </si>
  <si>
    <t>Weld</t>
  </si>
  <si>
    <t>Weld proportionning valve mount to frame</t>
  </si>
  <si>
    <t>Weld brake reservoir tab to frame</t>
  </si>
  <si>
    <t>Aerosol apply</t>
  </si>
  <si>
    <t>Paint steel tabs and mounts</t>
  </si>
  <si>
    <t>Fix Brake reservoir mount to brake reservoir tab</t>
  </si>
  <si>
    <t>Riveting</t>
  </si>
  <si>
    <t>Assemble brake fluid reservoirs on reservoir mount</t>
  </si>
  <si>
    <t>Asemble brake reservoir protection on reservoir mount</t>
  </si>
  <si>
    <t>Ratchet &lt;= 6.35 mm</t>
  </si>
  <si>
    <t>Reaction Tool &lt;= 6.35 mm</t>
  </si>
  <si>
    <t>Reaction tool for M6 nuts</t>
  </si>
  <si>
    <t>Fix tee mount on the frame</t>
  </si>
  <si>
    <t>Bolt tee mount to frame</t>
  </si>
  <si>
    <t>Reaction tool for M8 nuts</t>
  </si>
  <si>
    <t>fix tee on the tee tab</t>
  </si>
  <si>
    <t>Ratchet 
&lt;= 25.4 mm</t>
  </si>
  <si>
    <t>Banjo Bolts in Master Cylinders and Calipers</t>
  </si>
  <si>
    <t>Tube cut</t>
  </si>
  <si>
    <t>Repeat 12</t>
  </si>
  <si>
    <t>Cut(scissors,knife)</t>
  </si>
  <si>
    <t>Cut the Heat Shrink tubing to lengh</t>
  </si>
  <si>
    <t>Hand, Tight &lt;= 6.35 mm</t>
  </si>
  <si>
    <t xml:space="preserve">Put the hose in the banjos </t>
  </si>
  <si>
    <t>Wrench &lt;= 25.4 mm</t>
  </si>
  <si>
    <t>Tighten the banjos</t>
  </si>
  <si>
    <t>Reaction tool to lock the banjos</t>
  </si>
  <si>
    <t>Shrink Tube</t>
  </si>
  <si>
    <t>Shrink tube on HP hose</t>
  </si>
  <si>
    <t>Repeat 2</t>
  </si>
  <si>
    <t>Screwdriver &gt; 1 Turn</t>
  </si>
  <si>
    <t>Tighten hose clamps - worm drive</t>
  </si>
  <si>
    <t>Install Tie Wrap (Zip Tie, Cable Clamp)</t>
  </si>
  <si>
    <t>Fix the brake on the frame and the A-arms</t>
  </si>
  <si>
    <t>Bolt, Grade 8.8 (SAE 5)</t>
  </si>
  <si>
    <t>Fix brake fluid reservoirs to reservoir mount</t>
  </si>
  <si>
    <t>Fix tee tab to frame</t>
  </si>
  <si>
    <t>Fix front tee to tee tab</t>
  </si>
  <si>
    <t>Hose Clamp, Worm Drive</t>
  </si>
  <si>
    <t>Tie Wrap</t>
  </si>
  <si>
    <t>fix the brake line and the rear tee</t>
  </si>
  <si>
    <t>PVF</t>
  </si>
  <si>
    <t>FracIncld</t>
  </si>
  <si>
    <t>Welds - Welding Fixture</t>
  </si>
  <si>
    <t>Parts welded to frame</t>
  </si>
  <si>
    <t>point</t>
  </si>
  <si>
    <t>Steel tab welded to chassis</t>
  </si>
  <si>
    <t>Steel (per kg)</t>
  </si>
  <si>
    <t>Rectangular area 50mm x 30mm</t>
  </si>
  <si>
    <t>Install and remove part from laser machine</t>
  </si>
  <si>
    <t>Laser cut</t>
  </si>
  <si>
    <t>cutout the outline and holes</t>
  </si>
  <si>
    <t>Sheet metal bends</t>
  </si>
  <si>
    <t>for edge bends</t>
  </si>
  <si>
    <t>bend</t>
  </si>
  <si>
    <t>Brake Circuit</t>
  </si>
  <si>
    <t>Aluminium part to hold reservoirs</t>
  </si>
  <si>
    <t>Aluminium, normal (per kg)</t>
  </si>
  <si>
    <t>Rectangular area 70mm x 40mm</t>
  </si>
  <si>
    <t>Cutout the outline and holes</t>
  </si>
  <si>
    <t>Material - Aluminium</t>
  </si>
  <si>
    <t>For edge bends</t>
  </si>
  <si>
    <t>Rectangular area 120mm x 80mm</t>
  </si>
  <si>
    <t>In reality the Beringer MC 12.7 was used, but as it is not in the cost tables the AP CP3756 master cylinder was chosen as it has similar characteristics</t>
  </si>
  <si>
    <t>Master Cylinder, AP, CP3756</t>
  </si>
  <si>
    <t>Brake master cylinder</t>
  </si>
  <si>
    <t>Brake balance bar, assembly cost included in Pedal Assembly</t>
  </si>
  <si>
    <t xml:space="preserve">Balance Bar, Tilton, 72-250 </t>
  </si>
  <si>
    <t>Balance bar for brake bias</t>
  </si>
  <si>
    <t>Tee tab</t>
  </si>
  <si>
    <t>Aluminum, Normal</t>
  </si>
  <si>
    <t>rectangular area 92mm x 32mm</t>
  </si>
  <si>
    <t>Outer profile</t>
  </si>
  <si>
    <t>Material - Aluminum</t>
  </si>
  <si>
    <t>Proportioning Valve mount</t>
  </si>
  <si>
    <t>Allows for insallation of an optional proportioning valve</t>
  </si>
  <si>
    <t>Steel, mild</t>
  </si>
  <si>
    <t>Rectangular area 77,5mm x 76mm</t>
  </si>
  <si>
    <t>Tab for the proportionning Valve</t>
  </si>
  <si>
    <t>Material -steel</t>
  </si>
  <si>
    <t>BR 03007</t>
  </si>
  <si>
    <t>Impermeable aluminium shield to protect brake fluid reservoirs</t>
  </si>
  <si>
    <t xml:space="preserve">Part Drawing : </t>
  </si>
  <si>
    <t>Safety Wire, Install</t>
  </si>
  <si>
    <t>Bolt brake fluid reservoirs and shield to reservoir mount</t>
  </si>
  <si>
    <t>Mounts welding</t>
  </si>
  <si>
    <t>FractionIncluded</t>
  </si>
  <si>
    <t>Washer, Grade 8.8</t>
  </si>
  <si>
    <t>Bottom link nuts</t>
  </si>
  <si>
    <t>Nut, Grade 8.8</t>
  </si>
  <si>
    <t>Bottom link bolts</t>
  </si>
  <si>
    <t>Bolt, Grade 8.8</t>
  </si>
  <si>
    <t>Front mount blots</t>
  </si>
  <si>
    <t>Axle nuts</t>
  </si>
  <si>
    <t>Engine first start, includes fuel</t>
  </si>
  <si>
    <t>Safety wire for filler cap</t>
  </si>
  <si>
    <t>Reaction tool for M12 nut</t>
  </si>
  <si>
    <t>Tighten bottom axle M12 nuts</t>
  </si>
  <si>
    <t>Assemble bottom axle</t>
  </si>
  <si>
    <t>Assemble, 1 kg, Line-on-Line</t>
  </si>
  <si>
    <t>Reaction tool for M8 nut</t>
  </si>
  <si>
    <t>Tighten bottom link nut</t>
  </si>
  <si>
    <t>Bottom links assembly</t>
  </si>
  <si>
    <t>Tighten front mount M12 nut</t>
  </si>
  <si>
    <t>Put spacers</t>
  </si>
  <si>
    <t>Tighten upper axle M12 nuts</t>
  </si>
  <si>
    <t>Assemble upper axle</t>
  </si>
  <si>
    <t>Assemble engine in chassis</t>
  </si>
  <si>
    <t>Assemble, &gt;20 kg, Interference</t>
  </si>
  <si>
    <t>Assemble 6 vibration-damping sandwich</t>
  </si>
  <si>
    <t>Assemble, 1 kg, Interference</t>
  </si>
  <si>
    <t>Mount painting</t>
  </si>
  <si>
    <t>Aerosol Apply</t>
  </si>
  <si>
    <t>Front mounts welding on frame</t>
  </si>
  <si>
    <t>Welds</t>
  </si>
  <si>
    <t>Bottom mounts welding on frame</t>
  </si>
  <si>
    <t>Upper mounts welding on frame</t>
  </si>
  <si>
    <t>Engine mounts</t>
  </si>
  <si>
    <t>Mount, Vibration-Damping Sandwich</t>
  </si>
  <si>
    <t>L</t>
  </si>
  <si>
    <t xml:space="preserve">Engine oil </t>
  </si>
  <si>
    <t>Fluid, Oil</t>
  </si>
  <si>
    <t>Obstruction plate</t>
  </si>
  <si>
    <t>Front mount</t>
  </si>
  <si>
    <t>Bottom axle</t>
  </si>
  <si>
    <t>Bottom link</t>
  </si>
  <si>
    <t>Bottom mount</t>
  </si>
  <si>
    <t>Upper axle</t>
  </si>
  <si>
    <t>Upper mount</t>
  </si>
  <si>
    <t xml:space="preserve">Engine </t>
  </si>
  <si>
    <t>Engine and drivetrain</t>
  </si>
  <si>
    <t>cc</t>
  </si>
  <si>
    <t>Engine and Transmission, Ultra High Performance</t>
  </si>
  <si>
    <t>There was no modification on the engine excepting the installation of an anti dribble clutch instead of the original one. Honda Engine</t>
  </si>
  <si>
    <t>Material, Steel</t>
  </si>
  <si>
    <t>Machining Setup, Change</t>
  </si>
  <si>
    <t>Rectangular area 54mm x 52mm</t>
  </si>
  <si>
    <t>Mounts material</t>
  </si>
  <si>
    <t>Threading, External (machining)</t>
  </si>
  <si>
    <t>Round 14mm</t>
  </si>
  <si>
    <t>Axle material</t>
  </si>
  <si>
    <t>Drilled holes &lt; 25.4 mm dia.</t>
  </si>
  <si>
    <t>Rectangular area 52mm x 42mm</t>
  </si>
  <si>
    <t>mount material</t>
  </si>
  <si>
    <t>Rectangular area 100mm x 52mm</t>
  </si>
  <si>
    <t>Round 33mm</t>
  </si>
  <si>
    <t>Upper mounts</t>
  </si>
  <si>
    <t>Round 20mm</t>
  </si>
  <si>
    <t>Spacer material</t>
  </si>
  <si>
    <t>Aluminium, Normal</t>
  </si>
  <si>
    <t>Rectangular area 60mm x 2mm</t>
  </si>
  <si>
    <t>Plate material</t>
  </si>
  <si>
    <t>Exhaust system</t>
  </si>
  <si>
    <t>Exhaust flange</t>
  </si>
  <si>
    <t>Exhaust headers</t>
  </si>
  <si>
    <t>Exhaust primary collector</t>
  </si>
  <si>
    <t>Exhaust secondary collector</t>
  </si>
  <si>
    <t>Muffler collar</t>
  </si>
  <si>
    <t>Muffler mount</t>
  </si>
  <si>
    <t>Spring, Tension (General)</t>
  </si>
  <si>
    <t>Tip welding on headers</t>
  </si>
  <si>
    <t>Assemble flage to headers</t>
  </si>
  <si>
    <t>Assemble collector to headers</t>
  </si>
  <si>
    <t>Assemble headers to engine</t>
  </si>
  <si>
    <t>Assemble secondary collector</t>
  </si>
  <si>
    <t>Tignten headers nut</t>
  </si>
  <si>
    <t>Assemble, 3 kg, Line-on-Line</t>
  </si>
  <si>
    <t>Tighten muffler mount nut</t>
  </si>
  <si>
    <t>Reaction tool for M5 nut</t>
  </si>
  <si>
    <t>Muffler collar,washers and spacer</t>
  </si>
  <si>
    <t>Tighten muffler collar bolt</t>
  </si>
  <si>
    <t>Headers nuts</t>
  </si>
  <si>
    <t>Muffler collar washers</t>
  </si>
  <si>
    <t>Muffler collar bolt</t>
  </si>
  <si>
    <t>Muffler mount nut</t>
  </si>
  <si>
    <t>Muffler mount bolt</t>
  </si>
  <si>
    <t>Flange material</t>
  </si>
  <si>
    <t>Round 45mm</t>
  </si>
  <si>
    <t>4 parts made from a single machining setup</t>
  </si>
  <si>
    <t>Material - Stainless Steel</t>
  </si>
  <si>
    <t>Rectangular area 80mm x 50mm</t>
  </si>
  <si>
    <t>Flange cut</t>
  </si>
  <si>
    <t>Steel, Stainless</t>
  </si>
  <si>
    <t>Headers material</t>
  </si>
  <si>
    <t>Round 32mm x 1.5mm</t>
  </si>
  <si>
    <t>Tube bends</t>
  </si>
  <si>
    <t>Tube end preperation for welding</t>
  </si>
  <si>
    <t>end</t>
  </si>
  <si>
    <t>Weld - Round Tubing</t>
  </si>
  <si>
    <t>Collector material</t>
  </si>
  <si>
    <t>Round 40mm x 1.5mm</t>
  </si>
  <si>
    <t>Round 50mm x 1.5mm</t>
  </si>
  <si>
    <t>Hole for nut</t>
  </si>
  <si>
    <t>hole</t>
  </si>
  <si>
    <t>Nut on tube</t>
  </si>
  <si>
    <t xml:space="preserve">Lambda sensor </t>
  </si>
  <si>
    <t>Titanium</t>
  </si>
  <si>
    <t>Material for muffler body</t>
  </si>
  <si>
    <t>Rectangular area 0.5m x 0.4m</t>
  </si>
  <si>
    <t>Rectangular area 0.5m x 0.15m</t>
  </si>
  <si>
    <t>Muffler Batting</t>
  </si>
  <si>
    <t>Sheet metal punching</t>
  </si>
  <si>
    <t>cm^2</t>
  </si>
  <si>
    <t>Sheet metal stamping</t>
  </si>
  <si>
    <t>Rivet, Pop</t>
  </si>
  <si>
    <t>Carbon Fiber, 1 Ply</t>
  </si>
  <si>
    <t>kg</t>
  </si>
  <si>
    <t>Lamination, Manual</t>
  </si>
  <si>
    <t>Cure, Oven</t>
  </si>
  <si>
    <t>Lamination - Composite Tool</t>
  </si>
  <si>
    <t>Round 16mm</t>
  </si>
  <si>
    <t>Rectangular area 40mm x 25mm</t>
  </si>
  <si>
    <t>Threading, Internal (machining)</t>
  </si>
  <si>
    <t>Saw or tubing cuts</t>
  </si>
  <si>
    <t>Collar material</t>
  </si>
  <si>
    <t>Maintains the muffler in position</t>
  </si>
  <si>
    <t>Fuel tank assembly</t>
  </si>
  <si>
    <t>Fuel tank with filler neck</t>
  </si>
  <si>
    <t>Fuel tank</t>
  </si>
  <si>
    <t>Fuel tank heat shield</t>
  </si>
  <si>
    <t>Hose, Silicone</t>
  </si>
  <si>
    <t>Filler hose</t>
  </si>
  <si>
    <t>Heat Barrier</t>
  </si>
  <si>
    <t>Fuel tank protection</t>
  </si>
  <si>
    <t>Tab on frame</t>
  </si>
  <si>
    <t>Silentblocs on fuel tank</t>
  </si>
  <si>
    <t>Tignten silentblocs on fuel tank</t>
  </si>
  <si>
    <t>Heat barrier on tank</t>
  </si>
  <si>
    <t>Tank on chassis</t>
  </si>
  <si>
    <t>Tighten tank on chassis</t>
  </si>
  <si>
    <t>Clamp on filler tube</t>
  </si>
  <si>
    <t>Filler tube on filler neck</t>
  </si>
  <si>
    <t>Hose clamp</t>
  </si>
  <si>
    <t>Filler tube on fuel tank</t>
  </si>
  <si>
    <t>Tighten M5 nut</t>
  </si>
  <si>
    <t>Tighten M8 bolt</t>
  </si>
  <si>
    <t>Hand, Loose &gt; 25.4 mm</t>
  </si>
  <si>
    <t>Heat shield</t>
  </si>
  <si>
    <t>Hose clamp, worm drive</t>
  </si>
  <si>
    <t>sight tube</t>
  </si>
  <si>
    <t>Filler tube</t>
  </si>
  <si>
    <t>Tank mount</t>
  </si>
  <si>
    <t>Fuel tank material</t>
  </si>
  <si>
    <t>Rectangular area  1120mm x 245mm</t>
  </si>
  <si>
    <t>Tubing, Steel</t>
  </si>
  <si>
    <t>Neck tube</t>
  </si>
  <si>
    <t>Round 40mm x 2mm</t>
  </si>
  <si>
    <t>Adapter/L.P./Male Flare to Pipe//Steel/</t>
  </si>
  <si>
    <t>Fitting/L.P./Cap//Aluminum/Anodized</t>
  </si>
  <si>
    <t>Side plates</t>
  </si>
  <si>
    <t>Main plate</t>
  </si>
  <si>
    <t>Internal wall</t>
  </si>
  <si>
    <t>Tank welding</t>
  </si>
  <si>
    <t>Fittings welding</t>
  </si>
  <si>
    <t>Neck tube cut</t>
  </si>
  <si>
    <t>Neck tube welding</t>
  </si>
  <si>
    <t>Tab welding</t>
  </si>
  <si>
    <t>Cap assembly</t>
  </si>
  <si>
    <t>Catch cans mounts</t>
  </si>
  <si>
    <t>Filler neck material</t>
  </si>
  <si>
    <t>Adapter/L.P./Barb to Male Pipe/90 Deg./Aluminum/Anodized</t>
  </si>
  <si>
    <t>Sight tube</t>
  </si>
  <si>
    <t>Thread for cap</t>
  </si>
  <si>
    <t>Barb fittings welding on tube</t>
  </si>
  <si>
    <t>Sight tube assembly</t>
  </si>
  <si>
    <t>Cap material</t>
  </si>
  <si>
    <t>Round 50mm</t>
  </si>
  <si>
    <t>Fuel Check Valve</t>
  </si>
  <si>
    <t>Check valve assembly</t>
  </si>
  <si>
    <t>Check valve</t>
  </si>
  <si>
    <t>Rectangular area 32mm x 30 mm</t>
  </si>
  <si>
    <t>Rectangular area 522mm x 32mm</t>
  </si>
  <si>
    <t>Mount material</t>
  </si>
  <si>
    <t>Rectangular area 22mm x 1.5mm</t>
  </si>
  <si>
    <t>Rectangular area 400mm x 500mm</t>
  </si>
  <si>
    <t>EN 03008</t>
  </si>
  <si>
    <t>Shield material</t>
  </si>
  <si>
    <t>Protect reservoir from exhaust and engine heat</t>
  </si>
  <si>
    <t>Fuel system</t>
  </si>
  <si>
    <t>Complete fuel system assembly</t>
  </si>
  <si>
    <t>Fuel pump tab</t>
  </si>
  <si>
    <t>Fuel pressure regulator tab</t>
  </si>
  <si>
    <t>Fuel pump left mount</t>
  </si>
  <si>
    <t>Fuel pump right mount</t>
  </si>
  <si>
    <t>Fuel Filter</t>
  </si>
  <si>
    <t>Fuel Injector, Gasoline</t>
  </si>
  <si>
    <t>Fuel pump, Fuel injected, Gasoline</t>
  </si>
  <si>
    <t>Fuel pressure regulator, Gasoline</t>
  </si>
  <si>
    <t>Hose, Low Pressure, Stainless Steel Braided Outer</t>
  </si>
  <si>
    <t>Adapter/L.P./Union/90 deg./Aluminum/Anodized</t>
  </si>
  <si>
    <t>Fitting/L.P./Elbow/90 deg./Aluminum/Anodized</t>
  </si>
  <si>
    <t>Fitting/L.P./Straight/Aluminum/Anodized</t>
  </si>
  <si>
    <t>Adapter/L.P./Union Reducer//Aluminum/Anodized</t>
  </si>
  <si>
    <t>Adapter/L.P./Female Pipe Tee//Aluminum/Anodized</t>
  </si>
  <si>
    <t>Fitting/L.P./Tube Nut//Aluminum/Anodized</t>
  </si>
  <si>
    <t>Seal, O-Ring, Elastomer</t>
  </si>
  <si>
    <t>Injectors seals</t>
  </si>
  <si>
    <t>Assemble fittings on hose</t>
  </si>
  <si>
    <t>Assemble pump and pump mount</t>
  </si>
  <si>
    <t>Tighten M6 nut</t>
  </si>
  <si>
    <t>Reaction tool for M6 nut</t>
  </si>
  <si>
    <t>Assemble regulator on tab</t>
  </si>
  <si>
    <t>Assemble O-ring on injectors</t>
  </si>
  <si>
    <t>Assemble injectors on fuel rail</t>
  </si>
  <si>
    <t>Brush Apply</t>
  </si>
  <si>
    <t>Adhesive application</t>
  </si>
  <si>
    <t>Assemble primary rail on plenum</t>
  </si>
  <si>
    <t>Assemble banjo fittings on rail</t>
  </si>
  <si>
    <t>Tighten tube nut</t>
  </si>
  <si>
    <t>Tighten fittings</t>
  </si>
  <si>
    <t>Pump bolts</t>
  </si>
  <si>
    <t>Pump washers</t>
  </si>
  <si>
    <t>Pump nuts</t>
  </si>
  <si>
    <t>Regulator bolts</t>
  </si>
  <si>
    <t>Regulator washers</t>
  </si>
  <si>
    <t>Regulator nuts</t>
  </si>
  <si>
    <t>Primary fuel rail washers</t>
  </si>
  <si>
    <t>Primary fuel rail nuts</t>
  </si>
  <si>
    <t>Primary fuel rail</t>
  </si>
  <si>
    <t>Round tube   16mm x 3mm</t>
  </si>
  <si>
    <t>Rectangular area 100mm x 30mm</t>
  </si>
  <si>
    <t>Setup and remove for machining</t>
  </si>
  <si>
    <t>xm</t>
  </si>
  <si>
    <t>Setup and remove for laser cut</t>
  </si>
  <si>
    <t>Weld pieces together</t>
  </si>
  <si>
    <t>Steel tab for fuel pump attachment</t>
  </si>
  <si>
    <t>Tab material</t>
  </si>
  <si>
    <t>Rectangular area 32mm x 27mm</t>
  </si>
  <si>
    <t>Steel tab</t>
  </si>
  <si>
    <t>Rectangular area 46mm x 22mm</t>
  </si>
  <si>
    <t>Rectangular area 128mm x 32mm</t>
  </si>
  <si>
    <t>Material - Alumium</t>
  </si>
  <si>
    <t>Rectangular area 214mm x 32mm</t>
  </si>
  <si>
    <t>Primary fuel rail bolts</t>
  </si>
  <si>
    <t>Air Intake system</t>
  </si>
  <si>
    <t>Air intake assembly</t>
  </si>
  <si>
    <t>Upper plenum</t>
  </si>
  <si>
    <t>Bottom plenum ring</t>
  </si>
  <si>
    <t>Bottom plenum shape</t>
  </si>
  <si>
    <t>Bottom plenum plate</t>
  </si>
  <si>
    <t>Inlet pipe</t>
  </si>
  <si>
    <t>Pipe end</t>
  </si>
  <si>
    <t>Injector housing</t>
  </si>
  <si>
    <t>Fuel rail tab</t>
  </si>
  <si>
    <t>Manifold attachment</t>
  </si>
  <si>
    <t>Reinforcing plate</t>
  </si>
  <si>
    <t>Rubber brushing</t>
  </si>
  <si>
    <t>Weld bottom plenum ring to shape</t>
  </si>
  <si>
    <t>Weld bottom plenum shape to plate</t>
  </si>
  <si>
    <t>Weld injector housing to tube end</t>
  </si>
  <si>
    <t>Weld inlet tube to tube end</t>
  </si>
  <si>
    <t>Weld inlet tube to bottom plenum plate</t>
  </si>
  <si>
    <t>Weld fuel rail tab to inlet pipes</t>
  </si>
  <si>
    <t>Assemble rubber brushing to engine</t>
  </si>
  <si>
    <t>Assemble, 1kg, Loose</t>
  </si>
  <si>
    <t>Put clamp</t>
  </si>
  <si>
    <t>Assemble, 3 kg, Interference</t>
  </si>
  <si>
    <t>Assemble bottom plenum in rubber brushings</t>
  </si>
  <si>
    <t>Tighten clamp</t>
  </si>
  <si>
    <t>Tigten M6 reinforce bolt on bottom plenum</t>
  </si>
  <si>
    <t>Assemble upper plenum on bottom plenum</t>
  </si>
  <si>
    <t>Tighten M4 bolt</t>
  </si>
  <si>
    <t>Reaction tool for M4 nut</t>
  </si>
  <si>
    <t>Tigten M6 reinforcebolt on upper plenum</t>
  </si>
  <si>
    <t>Hose Clamp, Miniature Bolt</t>
  </si>
  <si>
    <t>Assemble rubber brushing on engine and plenum</t>
  </si>
  <si>
    <t>Bolt for plenum reinforcement</t>
  </si>
  <si>
    <t>Nut for plenum reinforcement</t>
  </si>
  <si>
    <t>Washers for plenum reinforcement</t>
  </si>
  <si>
    <t>Frac. Incl.</t>
  </si>
  <si>
    <t>Air intake system</t>
  </si>
  <si>
    <t>Carbon fiber plenum upper part</t>
  </si>
  <si>
    <t>Upper Plenum part 1</t>
  </si>
  <si>
    <t>Upper Plenum part 2</t>
  </si>
  <si>
    <t>Adhesive</t>
  </si>
  <si>
    <t>Assemble 2 plenum parts, cost included in process</t>
  </si>
  <si>
    <t>repeat 4</t>
  </si>
  <si>
    <t>Resin application, Infusion Molding</t>
  </si>
  <si>
    <t>Liquid Applicator Gun</t>
  </si>
  <si>
    <t>Glue 2 plenum parts together</t>
  </si>
  <si>
    <t>For plenum assembly</t>
  </si>
  <si>
    <t>Mold Upper Plenum part 1</t>
  </si>
  <si>
    <t>Aluminum, Normal (per kg)</t>
  </si>
  <si>
    <t>Ring material</t>
  </si>
  <si>
    <t>Rectangular  area 420mm x 190 mm</t>
  </si>
  <si>
    <t>Setup for laser cutting</t>
  </si>
  <si>
    <t>Outline shape and holes</t>
  </si>
  <si>
    <t xml:space="preserve"> cm</t>
  </si>
  <si>
    <t>Shape material</t>
  </si>
  <si>
    <t>Rectangular area 895mm x 17mm</t>
  </si>
  <si>
    <t>Cutout shapes</t>
  </si>
  <si>
    <t>Rectangular area 375 mm x 145 mm</t>
  </si>
  <si>
    <t>shape</t>
  </si>
  <si>
    <t>Pipe end material</t>
  </si>
  <si>
    <t>Round 25mm</t>
  </si>
  <si>
    <t>Rectangular area 300mm x 30mm</t>
  </si>
  <si>
    <t>Rectangular area 300 mm x 30mm</t>
  </si>
  <si>
    <t>Rectangular area 314mm x 100mm</t>
  </si>
  <si>
    <t>EN 05010</t>
  </si>
  <si>
    <t>Throttle body</t>
  </si>
  <si>
    <t>Throttle flange</t>
  </si>
  <si>
    <t>Throttle housing</t>
  </si>
  <si>
    <t>Cable housing axle</t>
  </si>
  <si>
    <t>TPS axle</t>
  </si>
  <si>
    <t>Throttle plate</t>
  </si>
  <si>
    <t>Cable housing</t>
  </si>
  <si>
    <t>Axle stop</t>
  </si>
  <si>
    <t>Ram pipe</t>
  </si>
  <si>
    <t>Throttle body bracket</t>
  </si>
  <si>
    <t>Throttle body upper collar</t>
  </si>
  <si>
    <t>Throttle body bottom colar</t>
  </si>
  <si>
    <t>Air filter</t>
  </si>
  <si>
    <t>Spring, Torsion (General)</t>
  </si>
  <si>
    <t>Sealing with air filter</t>
  </si>
  <si>
    <t>Sealing with plenum</t>
  </si>
  <si>
    <t>Cable, Pull</t>
  </si>
  <si>
    <t>Throttle cable</t>
  </si>
  <si>
    <t>Cable Adjuster</t>
  </si>
  <si>
    <t>Assemble throttle housing on restrictor</t>
  </si>
  <si>
    <t>Assemble flange on restrictor</t>
  </si>
  <si>
    <t>Assemble ram pipe on throttle housing</t>
  </si>
  <si>
    <t>Assemble throttle plae in restrictor</t>
  </si>
  <si>
    <t>Assemble TPS axle</t>
  </si>
  <si>
    <t>Assemble cable housing axle</t>
  </si>
  <si>
    <t>Assemble negative stop</t>
  </si>
  <si>
    <t>Tighten M5 bolt</t>
  </si>
  <si>
    <t>Assemble torsion spring</t>
  </si>
  <si>
    <t>Assemble axle stop</t>
  </si>
  <si>
    <t>Assemble seal on throttle body</t>
  </si>
  <si>
    <t>Assemble throttle body on plenum</t>
  </si>
  <si>
    <t>Tighten M6 bolt</t>
  </si>
  <si>
    <t>Assemble collar</t>
  </si>
  <si>
    <t>Assemble throttle bracket to collar</t>
  </si>
  <si>
    <t>Assemble bracket on frame</t>
  </si>
  <si>
    <t>Assemble air filter and clamp</t>
  </si>
  <si>
    <t>Assemble cable adjuster</t>
  </si>
  <si>
    <t>Hand, Loose &lt;= 6.35 mm</t>
  </si>
  <si>
    <t>Tighten throttle adjuster</t>
  </si>
  <si>
    <t>Assemble cable</t>
  </si>
  <si>
    <t>Throttle negative stop</t>
  </si>
  <si>
    <t>Assemble bracket to collar</t>
  </si>
  <si>
    <t>Assemble throttle bracket on frame</t>
  </si>
  <si>
    <t>Assemble air filter</t>
  </si>
  <si>
    <t>Rectangular area 40x20 mm</t>
  </si>
  <si>
    <t>Round 42mm</t>
  </si>
  <si>
    <t>Rectangular area 45x30 mm</t>
  </si>
  <si>
    <t>Throttle axle</t>
  </si>
  <si>
    <t>Round 10 mm</t>
  </si>
  <si>
    <t>Round 32 mm</t>
  </si>
  <si>
    <t>Rectangular area 80x60 mm</t>
  </si>
  <si>
    <t>Round 25 mm</t>
  </si>
  <si>
    <t>Round 80mm</t>
  </si>
  <si>
    <t>Rectangular area 17x65mm</t>
  </si>
  <si>
    <t>Trottle body bracket</t>
  </si>
  <si>
    <t>Bracket material</t>
  </si>
  <si>
    <t>Rectangular area 400x20mm</t>
  </si>
  <si>
    <t>Rectangular area 80x20mm</t>
  </si>
  <si>
    <t>Throttle body bottom collar</t>
  </si>
  <si>
    <t>Engine and Drivetrain</t>
  </si>
  <si>
    <t>Overflow bottles</t>
  </si>
  <si>
    <t>Overflow lines</t>
  </si>
  <si>
    <t xml:space="preserve">Overflow bottles welding </t>
  </si>
  <si>
    <t>Overflow bottles and lines assemble</t>
  </si>
  <si>
    <t>Assemble, 3 kg, Loose</t>
  </si>
  <si>
    <t>Overflow bottles and Tab assemble</t>
  </si>
  <si>
    <t>Lines hose clamp</t>
  </si>
  <si>
    <t>Overflow bottle</t>
  </si>
  <si>
    <t>Bought part, cost as made</t>
  </si>
  <si>
    <t>Front and rear Sides</t>
  </si>
  <si>
    <t>Rectangular area 280 x 150 mm</t>
  </si>
  <si>
    <t>Lateral sides</t>
  </si>
  <si>
    <t>Rectangular area 280 x 45 mm</t>
  </si>
  <si>
    <t>Top and bottom</t>
  </si>
  <si>
    <t>Rectangular area 150 x 45 mm</t>
  </si>
  <si>
    <t>Inputs</t>
  </si>
  <si>
    <t>Round tube diameter 6</t>
  </si>
  <si>
    <t>Front and rear sides cutting</t>
  </si>
  <si>
    <t>Later sides cutting</t>
  </si>
  <si>
    <t>Lateral sides cutting</t>
  </si>
  <si>
    <t>Top and Bottom cutting</t>
  </si>
  <si>
    <t>Overflow bottle welding</t>
  </si>
  <si>
    <t>Cut (scissors, knife)</t>
  </si>
  <si>
    <t>Cut hose to correct length</t>
  </si>
  <si>
    <t>Fix overflow bottles</t>
  </si>
  <si>
    <t>Cooling system</t>
  </si>
  <si>
    <t>Engine cooling system</t>
  </si>
  <si>
    <t>Coolant lines</t>
  </si>
  <si>
    <t>Expansion tank</t>
  </si>
  <si>
    <t>Radiator upper tab</t>
  </si>
  <si>
    <t>Radiator lower tab</t>
  </si>
  <si>
    <t>Radiator lateral tab</t>
  </si>
  <si>
    <t>Lateral bar</t>
  </si>
  <si>
    <t>Fluid, Coolant</t>
  </si>
  <si>
    <t>Cooling water</t>
  </si>
  <si>
    <t>Liter</t>
  </si>
  <si>
    <t>Radiator mounts</t>
  </si>
  <si>
    <t>Weld upper tab to the frame</t>
  </si>
  <si>
    <t>Weld lower tab to the frame</t>
  </si>
  <si>
    <t>Weld lateral tab to the frame</t>
  </si>
  <si>
    <t>Weld fan fixation and radiator</t>
  </si>
  <si>
    <t>Assemble vibration-damping sandwich with tabs</t>
  </si>
  <si>
    <t>Assemble, 3 kg, Line-on-line</t>
  </si>
  <si>
    <t>Set radiators to vibration-damping sandwiches</t>
  </si>
  <si>
    <t>Bolt for vibration damping sandwiches</t>
  </si>
  <si>
    <t>Assemble lateral bar with lateral tab and radiator</t>
  </si>
  <si>
    <t>Bolt for lateral bar</t>
  </si>
  <si>
    <t>Assemble lines with radiators</t>
  </si>
  <si>
    <t>Labor</t>
  </si>
  <si>
    <t>Bolt Hose Clamp</t>
  </si>
  <si>
    <t>Bolts for lateral tab and radiator</t>
  </si>
  <si>
    <t>Nuts for radiator tabs</t>
  </si>
  <si>
    <t>Bolt for lateral bar and radiator</t>
  </si>
  <si>
    <t>Nut for lateral bar and radiator</t>
  </si>
  <si>
    <t>Washers for lateral bar</t>
  </si>
  <si>
    <t>Main line hose clamp</t>
  </si>
  <si>
    <t>Tabs welding</t>
  </si>
  <si>
    <t>Point</t>
  </si>
  <si>
    <t>Main Lines</t>
  </si>
  <si>
    <t>Overflow bottle lines</t>
  </si>
  <si>
    <t>Fitting/L.P./Tube Sleeve//Aluminum/Anodized</t>
  </si>
  <si>
    <t>Hose cutting</t>
  </si>
  <si>
    <t>Hose and tube sleeve assembly</t>
  </si>
  <si>
    <t>Heat Exchanger, Air-to-Liquid</t>
  </si>
  <si>
    <t>Radiator Filler Necks</t>
  </si>
  <si>
    <t>Round 50 mm diameter</t>
  </si>
  <si>
    <t>Radiator cap</t>
  </si>
  <si>
    <t>Round 60 mm diameter</t>
  </si>
  <si>
    <t>Setup for machinig and removal</t>
  </si>
  <si>
    <t>Radiator Cap</t>
  </si>
  <si>
    <t>Radiator filler Necks welding</t>
  </si>
  <si>
    <t>Radiator filler Necks and cap assembly</t>
  </si>
  <si>
    <t>Radiator welding fixture</t>
  </si>
  <si>
    <t>Heat Exchanger Fan</t>
  </si>
  <si>
    <t>Fan fixation</t>
  </si>
  <si>
    <t>Frontal section</t>
  </si>
  <si>
    <t>Fan fixation cutting</t>
  </si>
  <si>
    <t>Aluminium</t>
  </si>
  <si>
    <t>Set fan to fan fixations</t>
  </si>
  <si>
    <t>Bolt Fan to Fixation</t>
  </si>
  <si>
    <t>Nut Fan to fixation</t>
  </si>
  <si>
    <t>Fan Bolt</t>
  </si>
  <si>
    <t>Fan Nut</t>
  </si>
  <si>
    <t>Fan Washers</t>
  </si>
  <si>
    <t xml:space="preserve">Area </t>
  </si>
  <si>
    <t xml:space="preserve">Length </t>
  </si>
  <si>
    <t>Lateral side</t>
  </si>
  <si>
    <t>Tube 100mm x 2mm</t>
  </si>
  <si>
    <t>Uper and lower side</t>
  </si>
  <si>
    <t>Round 100 mm diameter</t>
  </si>
  <si>
    <t>Expansion tank Filler Necks</t>
  </si>
  <si>
    <t>Expansion tank cap</t>
  </si>
  <si>
    <t>Expansion tank filler necks</t>
  </si>
  <si>
    <t>Uper and lower side cutting</t>
  </si>
  <si>
    <t>Expansion tank welding</t>
  </si>
  <si>
    <t>Filler necks welding</t>
  </si>
  <si>
    <t>Expansion tank Cap</t>
  </si>
  <si>
    <t>Expansion tank filler Necks and cap assembly</t>
  </si>
  <si>
    <t>Expansion tank welding fixture</t>
  </si>
  <si>
    <t>Rectangular area 51x31 mm</t>
  </si>
  <si>
    <t>Tab painting</t>
  </si>
  <si>
    <t>m²</t>
  </si>
  <si>
    <t>Rectangular area 26 x 30 mm</t>
  </si>
  <si>
    <t>Rectangular area 53 x 33 mm</t>
  </si>
  <si>
    <t>Laser cut of the tab</t>
  </si>
  <si>
    <t>Twisted bar to reinforce radiator mount</t>
  </si>
  <si>
    <t>Sheet Metal Saw Cut</t>
  </si>
  <si>
    <t>Cut of the lateral bar</t>
  </si>
  <si>
    <t>Holes for the lateral bar</t>
  </si>
  <si>
    <t>Bar twist</t>
  </si>
  <si>
    <t>Bend</t>
  </si>
  <si>
    <t>Differential housing and mounting assembly</t>
  </si>
  <si>
    <t>Bearing carrier</t>
  </si>
  <si>
    <t>Tie rod support</t>
  </si>
  <si>
    <t>Bearing carrier tab</t>
  </si>
  <si>
    <t>Bearing, Ball, Radial</t>
  </si>
  <si>
    <t>Right differential bearing</t>
  </si>
  <si>
    <t>Left differential bearing</t>
  </si>
  <si>
    <t>Differential oil</t>
  </si>
  <si>
    <t>Weld tabs to frame</t>
  </si>
  <si>
    <t>Paint tabs</t>
  </si>
  <si>
    <t>Assemble the housing and the bearings</t>
  </si>
  <si>
    <t>Assemble the bearing carriers and the bearings</t>
  </si>
  <si>
    <t>Put the bearing carriers and tabs in place</t>
  </si>
  <si>
    <t>Ratchet &lt;=25.4 mm</t>
  </si>
  <si>
    <t>Bolt the  bearing carriers to tabs</t>
  </si>
  <si>
    <t>Put the tie rods supports in place</t>
  </si>
  <si>
    <t>Bolt the tie rods supports to the baring carriers</t>
  </si>
  <si>
    <t>Assemble bearing carriers and tabs</t>
  </si>
  <si>
    <t>Assemble bearing carrier and tie rods supports</t>
  </si>
  <si>
    <t>Tabs</t>
  </si>
  <si>
    <t>Bought with the differential, cost as made</t>
  </si>
  <si>
    <t>Aluminium, Premium</t>
  </si>
  <si>
    <t>Material for differential housing</t>
  </si>
  <si>
    <t>Round 102mm diam.</t>
  </si>
  <si>
    <t>Material for differential housing cover</t>
  </si>
  <si>
    <t>Material for differential cover</t>
  </si>
  <si>
    <t>Seal, O-ring, Elastomer</t>
  </si>
  <si>
    <t>Setup and removal of the machining of the differential housing</t>
  </si>
  <si>
    <t>Machining of the diffrential housing</t>
  </si>
  <si>
    <t>Tapping holes</t>
  </si>
  <si>
    <t>Tapped holes for the differential housing</t>
  </si>
  <si>
    <t>Tapped holes for the drain screw of the differential housing</t>
  </si>
  <si>
    <t>Setup and removal of the machining of the differential housing cover</t>
  </si>
  <si>
    <t>Machining of the diffrential housing cover</t>
  </si>
  <si>
    <t>Drilled holles &lt;25,4mm dia</t>
  </si>
  <si>
    <t>hole for the differential housing cover</t>
  </si>
  <si>
    <t>Broach, External</t>
  </si>
  <si>
    <t>Broach of the housing cover</t>
  </si>
  <si>
    <t>Setup and removal of the machining</t>
  </si>
  <si>
    <t>Machining of the differential cover</t>
  </si>
  <si>
    <t>hole for the differential cover</t>
  </si>
  <si>
    <t>Assemble the three parts and the two seals</t>
  </si>
  <si>
    <t>Assemble the three parts</t>
  </si>
  <si>
    <t>Bolt the drain screws to housing</t>
  </si>
  <si>
    <t>Bolt, Grade 12,9</t>
  </si>
  <si>
    <t>Assemble of the three parts</t>
  </si>
  <si>
    <t>Washer, Grade 12,9</t>
  </si>
  <si>
    <t>Bolt, Grade 10,9</t>
  </si>
  <si>
    <t>Drain screw</t>
  </si>
  <si>
    <t>Copper washer for impermeability of the differential</t>
  </si>
  <si>
    <t>Bought with the differential</t>
  </si>
  <si>
    <t>Differential Internals, Limited Slip, Salisbury or Powerflow or Clutch Style</t>
  </si>
  <si>
    <t>Limite Slip Differential</t>
  </si>
  <si>
    <t>Material for the bearing carrier</t>
  </si>
  <si>
    <t>Rectangular area 231mm x 118 mm</t>
  </si>
  <si>
    <t>Steel,mild</t>
  </si>
  <si>
    <t>Material for the tie rod support</t>
  </si>
  <si>
    <t>Rectangular area 63mm x 63mm</t>
  </si>
  <si>
    <t>Material for the tab</t>
  </si>
  <si>
    <t>Rectangular area 43mm x 33mm</t>
  </si>
  <si>
    <t>Shaping of the tab</t>
  </si>
  <si>
    <t>Material-Steel</t>
  </si>
  <si>
    <t>Inboard tripod housing</t>
  </si>
  <si>
    <t>Outboard tripod housing</t>
  </si>
  <si>
    <t>Right axle</t>
  </si>
  <si>
    <t>Left axle</t>
  </si>
  <si>
    <t>Constant Velocity Joint, Tripod</t>
  </si>
  <si>
    <t>Tripod for driveshaft</t>
  </si>
  <si>
    <t>Constant Velocity Joint, Boot</t>
  </si>
  <si>
    <t>Boot for driveshaft</t>
  </si>
  <si>
    <t>Assemble a tripod housing and the differential</t>
  </si>
  <si>
    <t>Fasten the differential and a tripod housing</t>
  </si>
  <si>
    <t>Assemble a boot and an axle</t>
  </si>
  <si>
    <t>Assemble an axle and a snap ring</t>
  </si>
  <si>
    <t>Assemble a tripod and an axle</t>
  </si>
  <si>
    <t>Assemble an axle and a tripod housing</t>
  </si>
  <si>
    <t>Assemble a boot and an tripod housing</t>
  </si>
  <si>
    <t>Assemble a tripod housing and a hub</t>
  </si>
  <si>
    <t>Assemble a hose clamp and an axle</t>
  </si>
  <si>
    <t>Assemble a hose clamp and an tripod housing</t>
  </si>
  <si>
    <t>Bolt tripod housing to hub</t>
  </si>
  <si>
    <t>Retaining Ring, R-ring</t>
  </si>
  <si>
    <t>Snap ring for retaining tripods</t>
  </si>
  <si>
    <t>Hose Clamp, Spring Steel</t>
  </si>
  <si>
    <t>fasten the boot</t>
  </si>
  <si>
    <t>Assemble the tripod housings and the differential</t>
  </si>
  <si>
    <t>Nut, Grade NAS 6-Point</t>
  </si>
  <si>
    <t>Fasten the tripod housing and the hub</t>
  </si>
  <si>
    <t>Steel, Alloy</t>
  </si>
  <si>
    <t>Material for the inboard tripod housing</t>
  </si>
  <si>
    <t>Round 65,5mm diam.</t>
  </si>
  <si>
    <t>Setup and removal of the machining of the tripod housing</t>
  </si>
  <si>
    <t>Shaping of the tripod housing</t>
  </si>
  <si>
    <t>Setup and removal of the broach of the tripod housing</t>
  </si>
  <si>
    <t>Broach of the tripod housing</t>
  </si>
  <si>
    <t>Material for the tripod housing</t>
  </si>
  <si>
    <t xml:space="preserve">Round 65,5mm diam. </t>
  </si>
  <si>
    <t>Setup and removal of the threading of the tripod housing</t>
  </si>
  <si>
    <t>Threading of the tripod housing</t>
  </si>
  <si>
    <t>Material for driveshaft axle</t>
  </si>
  <si>
    <t>Round 24mm diam.</t>
  </si>
  <si>
    <t>Setup and removal of the machining of the axle</t>
  </si>
  <si>
    <t>Shaping of the axle</t>
  </si>
  <si>
    <t>Setup and removal of the broach of the axle</t>
  </si>
  <si>
    <t>Broach of the axle</t>
  </si>
  <si>
    <t>Tie rod</t>
  </si>
  <si>
    <t>Tie rod tab</t>
  </si>
  <si>
    <t>Threaded tube</t>
  </si>
  <si>
    <t>Tie rod spacer</t>
  </si>
  <si>
    <t>Rod End, Industrial</t>
  </si>
  <si>
    <t>Male left threads rod end</t>
  </si>
  <si>
    <t>Male right threads rod end</t>
  </si>
  <si>
    <t>Put nuts on rod ends</t>
  </si>
  <si>
    <t>Put rod ends on threaded tube</t>
  </si>
  <si>
    <t xml:space="preserve">Tighten the nut to the tube </t>
  </si>
  <si>
    <t>Tighten the nut to the tube</t>
  </si>
  <si>
    <t>Put tie rod on tie rod support and spacers</t>
  </si>
  <si>
    <t>Put the M8 bolt</t>
  </si>
  <si>
    <t>Put the M8 nut</t>
  </si>
  <si>
    <t>Put tie rod on tab with spacers</t>
  </si>
  <si>
    <t>Assemble the tie rod with the tab or the tie rod support</t>
  </si>
  <si>
    <t>Fraction Included</t>
  </si>
  <si>
    <t>Tube</t>
  </si>
  <si>
    <t>Round diameter 17 mm</t>
  </si>
  <si>
    <t>Shaping of the threaded tube</t>
  </si>
  <si>
    <t>Threading, internal</t>
  </si>
  <si>
    <t>Threading for the rod ends</t>
  </si>
  <si>
    <t>Cylinder 20 mm diameter</t>
  </si>
  <si>
    <t>Shaping of the spacer</t>
  </si>
  <si>
    <t>Material-Aluminium</t>
  </si>
  <si>
    <t>Chain set</t>
  </si>
  <si>
    <t>Front sprocket</t>
  </si>
  <si>
    <t>Rear sprocket</t>
  </si>
  <si>
    <t>Rear sprocket adapter</t>
  </si>
  <si>
    <t>Rear sprocket spacer</t>
  </si>
  <si>
    <t>Lower chain shield</t>
  </si>
  <si>
    <t>Upper chain shield</t>
  </si>
  <si>
    <t>Chain</t>
  </si>
  <si>
    <t xml:space="preserve">520 Chain </t>
  </si>
  <si>
    <t>Weld lower chain shield to frame</t>
  </si>
  <si>
    <t>Put the rear sprocket adapter on the differential</t>
  </si>
  <si>
    <t>Put the retaining ring in the groove</t>
  </si>
  <si>
    <t>Put spacers on adapter</t>
  </si>
  <si>
    <t>Put rear sprocket on adapter</t>
  </si>
  <si>
    <t>Bolt rear sprocket to adapter</t>
  </si>
  <si>
    <t>Put the front sprocket in place</t>
  </si>
  <si>
    <t>Bolt front sprocket to engine</t>
  </si>
  <si>
    <t>Assemble, 5 kg, Line-on-Line</t>
  </si>
  <si>
    <t>Put chain in place</t>
  </si>
  <si>
    <t>Adjustment - Misc.</t>
  </si>
  <si>
    <t>Chain tension</t>
  </si>
  <si>
    <t>Put the upper chain shield</t>
  </si>
  <si>
    <t>Bolt upper chain shield to lower chain shield</t>
  </si>
  <si>
    <t>Put the upper chain shield on the engine</t>
  </si>
  <si>
    <t>Bolt upper chain shield to engine</t>
  </si>
  <si>
    <t>Bolt, Grade 12.9</t>
  </si>
  <si>
    <t>Assemble the rear sprocket with the adapter</t>
  </si>
  <si>
    <t>Assemble the upper chain shield with the lower</t>
  </si>
  <si>
    <t>Assemble the upper chain shield with the engine</t>
  </si>
  <si>
    <t>Assemble the front sprocket with the engine</t>
  </si>
  <si>
    <t>Hold the rear sprocket adapter in place on the differential</t>
  </si>
  <si>
    <t>Material for front sprocket</t>
  </si>
  <si>
    <t>Round 95mm</t>
  </si>
  <si>
    <t>Setup and removal of the machining of the sprocket</t>
  </si>
  <si>
    <t>Shaping of the sprocket</t>
  </si>
  <si>
    <t>Machinig Setup, Install and remove</t>
  </si>
  <si>
    <t>Setup and removal of the broach of the sprocket</t>
  </si>
  <si>
    <t>Broach, Internal</t>
  </si>
  <si>
    <t>Broach of the sprocket</t>
  </si>
  <si>
    <t>Round 230mm</t>
  </si>
  <si>
    <t>Material for the adapter</t>
  </si>
  <si>
    <t>Round 183mm</t>
  </si>
  <si>
    <t>Setup and removal of the machining of the adapter</t>
  </si>
  <si>
    <t>Shaping of the adapter</t>
  </si>
  <si>
    <t>Setup for machining the other side of the adapter</t>
  </si>
  <si>
    <t>Shaping of the other side of the adapter</t>
  </si>
  <si>
    <t>Hole for the rear sprocket</t>
  </si>
  <si>
    <t>Setup and removal of the broach of the adapter</t>
  </si>
  <si>
    <t>Broach of the adapter</t>
  </si>
  <si>
    <t>Round diameter 18 mm</t>
  </si>
  <si>
    <t>Material for the lower chain shield</t>
  </si>
  <si>
    <t>Rectangular area 77mm x 3mm</t>
  </si>
  <si>
    <t>Setup and removal of the machining of the shield</t>
  </si>
  <si>
    <t>Material for the upper chain shield</t>
  </si>
  <si>
    <t>Shaping of the upper chain shield</t>
  </si>
  <si>
    <t>Bend to shape</t>
  </si>
  <si>
    <t>Hole for the lower chain shield</t>
  </si>
  <si>
    <t>Main shape contouring and holes for bolts</t>
  </si>
  <si>
    <t>Setup and removal for laser cutting</t>
  </si>
  <si>
    <t>Cut shape outline</t>
  </si>
  <si>
    <t>4 parts cut from a single machine setup</t>
  </si>
  <si>
    <t>Alows adjustments to chain tension</t>
  </si>
  <si>
    <t>8 parts made from a single machining setup</t>
  </si>
  <si>
    <t>EN 12003</t>
  </si>
  <si>
    <t>EN 12004</t>
  </si>
  <si>
    <t>EN 12005</t>
  </si>
  <si>
    <t>Shaping of the lower chain shield and holes</t>
  </si>
  <si>
    <t>EN 12006</t>
  </si>
  <si>
    <t>Frame and Body</t>
  </si>
  <si>
    <t>Tubular steel space frame</t>
  </si>
  <si>
    <t>Frame's paint</t>
  </si>
  <si>
    <t>Frame welding</t>
  </si>
  <si>
    <t>Jacking Point Tab welding</t>
  </si>
  <si>
    <t>Frame painting</t>
  </si>
  <si>
    <t>Frame Welding Fixture</t>
  </si>
  <si>
    <t>Main &amp; Front Hoop</t>
  </si>
  <si>
    <t>Round 30mm x 2mm</t>
  </si>
  <si>
    <t>Main &amp; Front Hoop Bends</t>
  </si>
  <si>
    <t>Cut to proper length</t>
  </si>
  <si>
    <t>Shoulder Harness Mounting Bar &amp; Straight Part of Front Hoop</t>
  </si>
  <si>
    <t>Side Impact Structure, Front Bulkhead, Roll Hoop Bracing</t>
  </si>
  <si>
    <t>Round 30mm x 1,5mm</t>
  </si>
  <si>
    <t>Front Bulkhead Support, Main Hoop Bracing Supports, Jacking Point, Miscellaneous</t>
  </si>
  <si>
    <t>Round 25mm x 1,5mm</t>
  </si>
  <si>
    <t>Miscellaneous</t>
  </si>
  <si>
    <t>Round 20mm x 1,5mm</t>
  </si>
  <si>
    <t>Tube laser cutting</t>
  </si>
  <si>
    <t>Jaking Point Tab</t>
  </si>
  <si>
    <t>Material for jacking point tab</t>
  </si>
  <si>
    <t>Rectangular area 33mm x 66mm</t>
  </si>
  <si>
    <t>A0002</t>
  </si>
  <si>
    <t>Impact Attenuator &amp; Anti Intrusion Plate</t>
  </si>
  <si>
    <t>Weld Anti-Intrusion Plate on chassis</t>
  </si>
  <si>
    <t>Impact attenuator gluing</t>
  </si>
  <si>
    <t>Assemble Attenuator on IA Plate</t>
  </si>
  <si>
    <t>Bolt Attenuator on Plate</t>
  </si>
  <si>
    <t>FSAE Impact Attenuator Type 14, bought, cost as made</t>
  </si>
  <si>
    <t>Foam, Expanding, Non-Structural</t>
  </si>
  <si>
    <t>First part of foam</t>
  </si>
  <si>
    <t>Rectangular area 355mm x 305mm</t>
  </si>
  <si>
    <t>Second part of foam</t>
  </si>
  <si>
    <t>Rectangular area 305mm x 237mm</t>
  </si>
  <si>
    <t>Third part of foam</t>
  </si>
  <si>
    <t>Rectangular area 254mm x 169mm</t>
  </si>
  <si>
    <t>Assemble foam parts, cost included in process</t>
  </si>
  <si>
    <t>Non-metallic cutting &gt; 76.2 mm</t>
  </si>
  <si>
    <t>Cut first part side</t>
  </si>
  <si>
    <t>cut</t>
  </si>
  <si>
    <t>Material - Foam</t>
  </si>
  <si>
    <t>Apply glue on first part</t>
  </si>
  <si>
    <t>Cut second part side</t>
  </si>
  <si>
    <t>Apply glue on second part</t>
  </si>
  <si>
    <t>Cut third part side</t>
  </si>
  <si>
    <t>Glue 3 part</t>
  </si>
  <si>
    <t>Drill holes for bolts</t>
  </si>
  <si>
    <t>Drill largest holes at the extremity of the previous holes for bolt's heads</t>
  </si>
  <si>
    <t>Drilled anti-intusion steel plate</t>
  </si>
  <si>
    <t>Anti-Inrusion Plate</t>
  </si>
  <si>
    <t>Rectangular area 355mm x 304mm</t>
  </si>
  <si>
    <t>Protect from rust</t>
  </si>
  <si>
    <t>Drill holes holes for bolts</t>
  </si>
  <si>
    <t>Paint to protect from rust</t>
  </si>
  <si>
    <t>FSAE Impact Attenuator Type 14</t>
  </si>
  <si>
    <t>Anti intrusion plate</t>
  </si>
  <si>
    <t>Floor close-out front tab</t>
  </si>
  <si>
    <t>Floor close-out tab 2_20</t>
  </si>
  <si>
    <t>Floor close-out tab 1_25</t>
  </si>
  <si>
    <t>Floor close-out tab 2_30</t>
  </si>
  <si>
    <t>Floor close-out tab 1_30</t>
  </si>
  <si>
    <t>Tabs welding on frame</t>
  </si>
  <si>
    <t>Installation front floor pan</t>
  </si>
  <si>
    <t>Assemble - Length &gt; 0.5m</t>
  </si>
  <si>
    <t>Front pan riveting</t>
  </si>
  <si>
    <t>Installation middle floor pan</t>
  </si>
  <si>
    <t>Floor close-out riveting</t>
  </si>
  <si>
    <t>Welds-Welding fixture</t>
  </si>
  <si>
    <t>Frame and body</t>
  </si>
  <si>
    <t>Floor close-out</t>
  </si>
  <si>
    <t xml:space="preserve">Front floor pan </t>
  </si>
  <si>
    <t>Rectangular area 740 x 483 mm</t>
  </si>
  <si>
    <t>Laser cut of the floor pan</t>
  </si>
  <si>
    <t>Floor pan drilling</t>
  </si>
  <si>
    <t>Rectangular area 624 x 744 mm</t>
  </si>
  <si>
    <t>Floor pan bending</t>
  </si>
  <si>
    <t>Rectangular area 60 x 12 mm</t>
  </si>
  <si>
    <t>Laser cut of the front tab</t>
  </si>
  <si>
    <t>Front tab bending</t>
  </si>
  <si>
    <t>Tab 2_25</t>
  </si>
  <si>
    <t>Rectangular area 110 x 12 mm</t>
  </si>
  <si>
    <t>Tab bending</t>
  </si>
  <si>
    <t>Rectangular area 40 x 12 mm</t>
  </si>
  <si>
    <t>Tab 3</t>
  </si>
  <si>
    <t>Rectangular area 125 x 12 mm</t>
  </si>
  <si>
    <t>tab bending</t>
  </si>
  <si>
    <t>Tab 4</t>
  </si>
  <si>
    <t>Rectangular area 48 x 12 mm</t>
  </si>
  <si>
    <t>9 parts cut from a single machine setup</t>
  </si>
  <si>
    <t>12 parts cut from a single machine setup</t>
  </si>
  <si>
    <t>2 parts cut from a single machine setup</t>
  </si>
  <si>
    <t>6 parts cut from a single machine setup</t>
  </si>
  <si>
    <t xml:space="preserve">Adjustable 2-pedal assembly </t>
  </si>
  <si>
    <t>Balance bar mount</t>
  </si>
  <si>
    <t>Custom master-cylinder clevises</t>
  </si>
  <si>
    <t>Master-cylinder bar</t>
  </si>
  <si>
    <t>Throttle cable support - left</t>
  </si>
  <si>
    <t>Throttle cable support - right</t>
  </si>
  <si>
    <t>Throttle cable support - top</t>
  </si>
  <si>
    <t>Throttle cable support - bottom</t>
  </si>
  <si>
    <t>Throttle mechanism rocker</t>
  </si>
  <si>
    <t>Throttle cable attachment</t>
  </si>
  <si>
    <t>Overtravel switch mount</t>
  </si>
  <si>
    <t>Plastic Spacer</t>
  </si>
  <si>
    <t>Thread-locker for pedal pivot bolts (cost included in process)</t>
  </si>
  <si>
    <t>Tape</t>
  </si>
  <si>
    <t>Anti-skid tape to cover pedal pads (cost included in process)</t>
  </si>
  <si>
    <t>Clevis (female)</t>
  </si>
  <si>
    <t>Female clevis used for throttle rocker mechanism</t>
  </si>
  <si>
    <t>Clevis (male)</t>
  </si>
  <si>
    <t>Male clevis used for throttle rocker mechanism</t>
  </si>
  <si>
    <t>Switch, Kill</t>
  </si>
  <si>
    <t>Overtravel switch</t>
  </si>
  <si>
    <t>Protect welded steel pedal rails from rust</t>
  </si>
  <si>
    <t>Weld 2 pedal rails to frame</t>
  </si>
  <si>
    <t>Paint pedal rails to protect from rust</t>
  </si>
  <si>
    <t>Insert 4 bronze pedal bushings into 2 pedals</t>
  </si>
  <si>
    <t>Put brake pedal bracket in place</t>
  </si>
  <si>
    <t>Bolt brake pedal bracket to pedal base</t>
  </si>
  <si>
    <t>Align brake pedal and bracket and insert pivot</t>
  </si>
  <si>
    <t>Place brake pedal pad in position on pedal</t>
  </si>
  <si>
    <t>Bolt brake pedal pad to brake pedal</t>
  </si>
  <si>
    <t>Put overtravel switch mount in position</t>
  </si>
  <si>
    <t>Bolt overtravel switch mount onto pedal bracket</t>
  </si>
  <si>
    <t>Put overtravel switch in position</t>
  </si>
  <si>
    <t>Hand, Loose &lt;= 25.4 mm</t>
  </si>
  <si>
    <t>Screw on plastic nut</t>
  </si>
  <si>
    <t>Tighten to lock overtravel switch in position</t>
  </si>
  <si>
    <t>Put throttle pedal bracket in place</t>
  </si>
  <si>
    <t>Bolt throttle pedal bracket to pedal base</t>
  </si>
  <si>
    <t>Align throttle pedal and bracket and insert pivot</t>
  </si>
  <si>
    <t>Place throttle pedal pad in position on pedal</t>
  </si>
  <si>
    <t>Bolt brake pedal pad to throttle pedal</t>
  </si>
  <si>
    <t>Cut 2 pieces of anti-skid tape</t>
  </si>
  <si>
    <t>Cover both pedal pads with anti-skid tape</t>
  </si>
  <si>
    <t>Put balance bar mount in place</t>
  </si>
  <si>
    <t>Bolt balance bar mount onto pedal base</t>
  </si>
  <si>
    <t>Remove clevises from balance bar</t>
  </si>
  <si>
    <t>Disassemble</t>
  </si>
  <si>
    <t>Insert balance bar into balance bar mount</t>
  </si>
  <si>
    <t>Assemble plastic spacers</t>
  </si>
  <si>
    <t>Insert custom m.c. clevises on balance bar</t>
  </si>
  <si>
    <t>Insert 2 studs into clevises each with 2 jam nuts</t>
  </si>
  <si>
    <t>Assemble master cylinder onto stud end</t>
  </si>
  <si>
    <t xml:space="preserve">Wrench &lt;= 6.35 mm </t>
  </si>
  <si>
    <t>Tighten master cylinder and clevis jam nuts</t>
  </si>
  <si>
    <t>Insert Master-cylinder bar into brake pedal</t>
  </si>
  <si>
    <t>Assemble retaining rings on master-cylinder bar</t>
  </si>
  <si>
    <t>Assemble master -cylinder ends onto bar</t>
  </si>
  <si>
    <t>Tighten M6 nuts on ends of master-cyl. Bar</t>
  </si>
  <si>
    <t>Adjust brake bias on balance bar</t>
  </si>
  <si>
    <t>Assemble the 4 "throttle cable support" parts</t>
  </si>
  <si>
    <t>Place throttle cable support ass. on pedal base</t>
  </si>
  <si>
    <t>Bolt throttle cable support ass. to pedal base</t>
  </si>
  <si>
    <t>Put clevis in position on throttle pedal</t>
  </si>
  <si>
    <t>Add washers as spacers</t>
  </si>
  <si>
    <t>Bolt which links clevis to throttle pedal</t>
  </si>
  <si>
    <t>Assemble jam nut onto clevis male part</t>
  </si>
  <si>
    <t xml:space="preserve">Hand, Loose &lt;= 6.35 mm </t>
  </si>
  <si>
    <t>Assemble female clevis onto male clevis</t>
  </si>
  <si>
    <t>Tighten jam nut</t>
  </si>
  <si>
    <t>Assemble throttle rocker and M5x60 pivot bolt</t>
  </si>
  <si>
    <t>Assemble link between clevis and rocker</t>
  </si>
  <si>
    <t>Put bolt through cable attachment and rocker</t>
  </si>
  <si>
    <t>Place pedal base in position on rails</t>
  </si>
  <si>
    <t>Bolt pedal base to pedal rails</t>
  </si>
  <si>
    <t>Reaction tool for M10 nuts</t>
  </si>
  <si>
    <t>Throttle cable adjuster</t>
  </si>
  <si>
    <t>Fix pedal brackets to pedal base</t>
  </si>
  <si>
    <t>Fix overtravel switch mount to pedal bracket</t>
  </si>
  <si>
    <t>Fix pedal pivots in pedal brackets</t>
  </si>
  <si>
    <t>Fix pedal pads to pedals</t>
  </si>
  <si>
    <t>Fix balance bar mount onto pedal base</t>
  </si>
  <si>
    <t>Stud, Grade 8.8 (SAE 5)</t>
  </si>
  <si>
    <t>To fix clevises to end of master-cylinders</t>
  </si>
  <si>
    <t>Jam nuts for master-cylinder studs</t>
  </si>
  <si>
    <t>Retain master-cylinder bar in brake pedal</t>
  </si>
  <si>
    <t>Nuts for master-cylinder bar ends</t>
  </si>
  <si>
    <t>Rivets for assembling the throttle cable support</t>
  </si>
  <si>
    <t>Fix throttle cable support ass. to pedal base</t>
  </si>
  <si>
    <t>Link throttle mechanism clevis to throttle pedal</t>
  </si>
  <si>
    <t>Jam nut for clevis</t>
  </si>
  <si>
    <t>Used as spacers for clevis on throttle pedal</t>
  </si>
  <si>
    <t>Pivot for throttle mechanism rocker</t>
  </si>
  <si>
    <t>Link throttle rocker to cable attachment part</t>
  </si>
  <si>
    <t>Fix pedal base to pedal rails</t>
  </si>
  <si>
    <t>Pedal rails</t>
  </si>
  <si>
    <t xml:space="preserve">Frame and Body </t>
  </si>
  <si>
    <t>Pedal rail</t>
  </si>
  <si>
    <t>Rails on which the pedal assembly is mounted</t>
  </si>
  <si>
    <t>Steel square tube material used as rail stock</t>
  </si>
  <si>
    <t>Square 2mm thick, 22mm x 22mm</t>
  </si>
  <si>
    <t>Install and remove part from machine</t>
  </si>
  <si>
    <t>Shaping of the ends</t>
  </si>
  <si>
    <t>Drilled holes  &lt; 25.4 mm dia.</t>
  </si>
  <si>
    <t>Drilling of holes for pedal base adjustable mounting and weight reduction</t>
  </si>
  <si>
    <t>Machined aluminium pedal</t>
  </si>
  <si>
    <t>Material for pedal</t>
  </si>
  <si>
    <t>Rectangular area 31.5mm x 30mm</t>
  </si>
  <si>
    <t>Setup and removal of the machining of the pedal body</t>
  </si>
  <si>
    <t>Material removal - side view profile and holes</t>
  </si>
  <si>
    <t>Setup for next machining step</t>
  </si>
  <si>
    <t>Surface machining - material removal</t>
  </si>
  <si>
    <t>Last face and holes</t>
  </si>
  <si>
    <t>Hole for pedal mount</t>
  </si>
  <si>
    <t>Ream hole</t>
  </si>
  <si>
    <t>Reamed hole for bushings insertion</t>
  </si>
  <si>
    <t>Holes for pedal face</t>
  </si>
  <si>
    <t>Hole for pedal stop</t>
  </si>
  <si>
    <t>Tapped hole for pedal stop</t>
  </si>
  <si>
    <t>Insert M6 pedal stop screw</t>
  </si>
  <si>
    <t>Tighten nuts for pedal stop</t>
  </si>
  <si>
    <t>Negative pedal stop</t>
  </si>
  <si>
    <t>Nuts for negative pedal stop</t>
  </si>
  <si>
    <t>Machined aluminium pedal bracket</t>
  </si>
  <si>
    <t>Material for pedal bracket</t>
  </si>
  <si>
    <t>Rectangular area 43mm x 32mm</t>
  </si>
  <si>
    <t>Setup for machining and removal</t>
  </si>
  <si>
    <t>Material removal - side view profile</t>
  </si>
  <si>
    <t>Inside "shell" and bottom cutout</t>
  </si>
  <si>
    <t>Finish</t>
  </si>
  <si>
    <t>Holes on sides for pedal mount</t>
  </si>
  <si>
    <t>Holes on bottom for bracket mount</t>
  </si>
  <si>
    <t>Tap hole for pedal stop</t>
  </si>
  <si>
    <t>Tighten jam nut for pedal stop</t>
  </si>
  <si>
    <t>Positive pedal stop</t>
  </si>
  <si>
    <t>Jam nut for positive pedal stop</t>
  </si>
  <si>
    <t>Rectangular area 34mm x 34mm</t>
  </si>
  <si>
    <t xml:space="preserve">Setup for machining and removal </t>
  </si>
  <si>
    <t>Material removal - outer profile and slot</t>
  </si>
  <si>
    <t>Material removal and Slot</t>
  </si>
  <si>
    <t>Material removal on back of pedal</t>
  </si>
  <si>
    <t>Holes at top for master-cylinder axle</t>
  </si>
  <si>
    <t>Pedal mount hole</t>
  </si>
  <si>
    <t>Reamed pedal mount hole for bushings</t>
  </si>
  <si>
    <t>Tapped holes for pedal face mount</t>
  </si>
  <si>
    <t>Rectangular area 47mm x 37mm</t>
  </si>
  <si>
    <t>Setup for the next machining step</t>
  </si>
  <si>
    <t>Last face shape and holes</t>
  </si>
  <si>
    <t>Machined aluminium part</t>
  </si>
  <si>
    <t>Rectangular area 37mm x 34mm</t>
  </si>
  <si>
    <t>Material removal - side view profile and hole</t>
  </si>
  <si>
    <t>Setup for machining of the opposite side</t>
  </si>
  <si>
    <t>Stock removal - surface finish</t>
  </si>
  <si>
    <t>Reamed hole for balance bar</t>
  </si>
  <si>
    <t>Holes for fixing part onto pedal base</t>
  </si>
  <si>
    <t>Laser cut steel plate</t>
  </si>
  <si>
    <t>Steel, stainless (per kg)</t>
  </si>
  <si>
    <t>3mm thick sheet metal used for pedal base</t>
  </si>
  <si>
    <t>cutout the outline, shapes and holes</t>
  </si>
  <si>
    <t>Brake pedal pad</t>
  </si>
  <si>
    <t>Laser cut then bent aluminium plate</t>
  </si>
  <si>
    <t>Material for pedal face</t>
  </si>
  <si>
    <t>Rectangular area 105mm x 95mm</t>
  </si>
  <si>
    <t>Throttle pedal pad</t>
  </si>
  <si>
    <t>Rectangular area 97mm x 90mm</t>
  </si>
  <si>
    <t>Rectangular area 67mm x 80mm</t>
  </si>
  <si>
    <t>Rectangular area 95mm x 31mm</t>
  </si>
  <si>
    <t>Master cylinder bar</t>
  </si>
  <si>
    <t>strong steel bar for mounting master cylinders</t>
  </si>
  <si>
    <t>Steel, Alloy (per kg)</t>
  </si>
  <si>
    <t>Stock material for axle</t>
  </si>
  <si>
    <t>Round 12mm diam.</t>
  </si>
  <si>
    <t>Machining - turning of one end</t>
  </si>
  <si>
    <t>Machining - turning of the other end</t>
  </si>
  <si>
    <t>Threading, External</t>
  </si>
  <si>
    <t>Threading of both ends</t>
  </si>
  <si>
    <t>Rocker for throttle cable mechanism</t>
  </si>
  <si>
    <t>Rectangular area 15mm x 30mm</t>
  </si>
  <si>
    <t>Machining - outer profile of one side</t>
  </si>
  <si>
    <t>3 holes for pivots</t>
  </si>
  <si>
    <t>Rectangular area 85mm x 62mm</t>
  </si>
  <si>
    <t>Throttle pedal pivot</t>
  </si>
  <si>
    <t>stainless steel axle for mounting the pedal</t>
  </si>
  <si>
    <t>Steel, Stainless (per kg)</t>
  </si>
  <si>
    <t>Round 10 mm diam.</t>
  </si>
  <si>
    <t>Machining - turning</t>
  </si>
  <si>
    <t>Brake pedal pivot</t>
  </si>
  <si>
    <t>Connects to end of throttle cable</t>
  </si>
  <si>
    <t>Rectangular area 70mm x 15mm</t>
  </si>
  <si>
    <t>for bends</t>
  </si>
  <si>
    <t>Machined aluminium part to replace original clevises</t>
  </si>
  <si>
    <t>Setup for machining of the front view profile</t>
  </si>
  <si>
    <t>Material removal - front view profile</t>
  </si>
  <si>
    <t>back surface : stock removal - surface finish</t>
  </si>
  <si>
    <t>Hole for assembling onto the master-cylinder</t>
  </si>
  <si>
    <t>Pedal bushing</t>
  </si>
  <si>
    <t>Bronze bushings used for pedal pivots</t>
  </si>
  <si>
    <t>Bronze (per kg)</t>
  </si>
  <si>
    <t>Stock material for bushings</t>
  </si>
  <si>
    <t>Round area, 5mm radius</t>
  </si>
  <si>
    <t xml:space="preserve">Setup for machining (turning) and removal </t>
  </si>
  <si>
    <t>Machining of the bushing (turning)</t>
  </si>
  <si>
    <t>Material - Bronze</t>
  </si>
  <si>
    <t>Plastic spacers for balance bar</t>
  </si>
  <si>
    <t>Plastic, PVC (per kg)</t>
  </si>
  <si>
    <t>Plastic Sheet Material for part</t>
  </si>
  <si>
    <t>Square area, 50mm sides</t>
  </si>
  <si>
    <t>Cut out spacer shape from plastic sheet</t>
  </si>
  <si>
    <t>Insert threaded stud</t>
  </si>
  <si>
    <t>Tighten M5 nuts</t>
  </si>
  <si>
    <t>Clutch actuation system</t>
  </si>
  <si>
    <t>Hand-actuated clutch system</t>
  </si>
  <si>
    <t>Lever steel mount</t>
  </si>
  <si>
    <t>Lever mount half collar 1</t>
  </si>
  <si>
    <t>Lever mount half collar 2</t>
  </si>
  <si>
    <t>half collars spacer</t>
  </si>
  <si>
    <t>Lever handle</t>
  </si>
  <si>
    <t>Lever joint</t>
  </si>
  <si>
    <t>Clutch actuation lever</t>
  </si>
  <si>
    <t>Handle padding</t>
  </si>
  <si>
    <t>Clutch actuation</t>
  </si>
  <si>
    <t>Cable adjuster</t>
  </si>
  <si>
    <t>Steel mounts painting</t>
  </si>
  <si>
    <t>Steel mounts welding on frame</t>
  </si>
  <si>
    <t>Spacers on half collars</t>
  </si>
  <si>
    <t>Half collars on frame</t>
  </si>
  <si>
    <t xml:space="preserve">Ratchet &lt;= 6.35 mm </t>
  </si>
  <si>
    <t>Collar M6 bolts installation</t>
  </si>
  <si>
    <t>Reaction tool &lt;= 6,35 mm</t>
  </si>
  <si>
    <t>Collar M6 nuts blocking</t>
  </si>
  <si>
    <t>Lever handle on half collar 1</t>
  </si>
  <si>
    <t>Lever handle base M6 bolt installation</t>
  </si>
  <si>
    <t>Engagement Length&gt;2D</t>
  </si>
  <si>
    <t>Lever handle base M6 nut blocking</t>
  </si>
  <si>
    <t>Lever joint on lever handle</t>
  </si>
  <si>
    <t>Lever joint M6 bolt installation</t>
  </si>
  <si>
    <t>Assemble, 1 kg, Line on line</t>
  </si>
  <si>
    <t>Lever on lever joint</t>
  </si>
  <si>
    <t>M6 bolts installation</t>
  </si>
  <si>
    <t>Engagement Length&gt;4D</t>
  </si>
  <si>
    <t>M6 nuts blocking</t>
  </si>
  <si>
    <t>Handle padding on lever handle</t>
  </si>
  <si>
    <t>Cable on engine</t>
  </si>
  <si>
    <t xml:space="preserve">Wrench &lt;= 25,4 mm </t>
  </si>
  <si>
    <t>Cable adapter M8 nuts tightening</t>
  </si>
  <si>
    <t>Cable on clutch lever</t>
  </si>
  <si>
    <t>Cable on lever joint</t>
  </si>
  <si>
    <t>Assemble,1kg , Loose</t>
  </si>
  <si>
    <t>Tie wraps installation</t>
  </si>
  <si>
    <t>Frame collar bolts</t>
  </si>
  <si>
    <t>Lever handle base on half collar bolt</t>
  </si>
  <si>
    <t>Lever joint on lever</t>
  </si>
  <si>
    <t>Lever handle on lever joint</t>
  </si>
  <si>
    <t>Lever handle base washers</t>
  </si>
  <si>
    <t>Lever handle base nut</t>
  </si>
  <si>
    <t>Frame collar nuts</t>
  </si>
  <si>
    <t>Clutch cable on engine</t>
  </si>
  <si>
    <t>Cable support</t>
  </si>
  <si>
    <t>Welds-Welding Fixture</t>
  </si>
  <si>
    <t>Rectangular         32mm x 25 mm</t>
  </si>
  <si>
    <t>Main shape contouring</t>
  </si>
  <si>
    <t>Central groove machining</t>
  </si>
  <si>
    <t>Aluminium mount mounting holes</t>
  </si>
  <si>
    <t>Threading, Internal</t>
  </si>
  <si>
    <t>Round 15 mm x 1,5mm</t>
  </si>
  <si>
    <t>Rectangular 65 mm x 22 mm</t>
  </si>
  <si>
    <t>Steel tube cutting</t>
  </si>
  <si>
    <t>Half collar laser cutting</t>
  </si>
  <si>
    <t>Material- Steel</t>
  </si>
  <si>
    <t>Half collar and tube welding</t>
  </si>
  <si>
    <t>Material -Steel</t>
  </si>
  <si>
    <t>Half collars spacer</t>
  </si>
  <si>
    <t>Rectangular 36 mm x 22 mm</t>
  </si>
  <si>
    <t>Material -Aluminium</t>
  </si>
  <si>
    <t>Square 26mm x 26mm</t>
  </si>
  <si>
    <t>Round tube 22mm x 1 mm</t>
  </si>
  <si>
    <t>Material- Aluminium</t>
  </si>
  <si>
    <t>Hole drilling</t>
  </si>
  <si>
    <t>Tube cutting</t>
  </si>
  <si>
    <t>Tube on base welding</t>
  </si>
  <si>
    <t>This part was taken on a damaged motorcycle, but cost as made</t>
  </si>
  <si>
    <t>Die casting</t>
  </si>
  <si>
    <t>Main shape finish</t>
  </si>
  <si>
    <t>Collar finish</t>
  </si>
  <si>
    <t>Collar hole</t>
  </si>
  <si>
    <t>Axle hole</t>
  </si>
  <si>
    <t>Holes threading</t>
  </si>
  <si>
    <t>Die casting -Die</t>
  </si>
  <si>
    <t>die</t>
  </si>
  <si>
    <t>Actuation lever</t>
  </si>
  <si>
    <t>Lever casting</t>
  </si>
  <si>
    <t>FR 05008</t>
  </si>
  <si>
    <t>Rubber</t>
  </si>
  <si>
    <t xml:space="preserve">Die casting </t>
  </si>
  <si>
    <t>Padding casting</t>
  </si>
  <si>
    <t xml:space="preserve">Gearshifting paddles </t>
  </si>
  <si>
    <t>Bought from Pro Shift, cost as made</t>
  </si>
  <si>
    <t>Paddles mount main part</t>
  </si>
  <si>
    <t>Paddles rockers</t>
  </si>
  <si>
    <t>Paddles</t>
  </si>
  <si>
    <t>Spring, Compression (General)</t>
  </si>
  <si>
    <t>Rockers callback springs</t>
  </si>
  <si>
    <t>Switch, Toggle</t>
  </si>
  <si>
    <t>Gearshifting signal switches</t>
  </si>
  <si>
    <t>Paddles rockers on main part assembling</t>
  </si>
  <si>
    <t>M4 Bolts assembling</t>
  </si>
  <si>
    <t>M4 nuts tightening</t>
  </si>
  <si>
    <t>Springs installation</t>
  </si>
  <si>
    <t>Switches installation</t>
  </si>
  <si>
    <t>Paddles on paddles rockers assembling</t>
  </si>
  <si>
    <t>M3 bolts assembling</t>
  </si>
  <si>
    <t xml:space="preserve">Rocker axles </t>
  </si>
  <si>
    <t>Paddles on rockers assembling bolts</t>
  </si>
  <si>
    <t>Rocker axles nuts</t>
  </si>
  <si>
    <t>Plastic, Polycarbonate</t>
  </si>
  <si>
    <t>Rectangular 100 mm x50mm</t>
  </si>
  <si>
    <t>Main shape machining</t>
  </si>
  <si>
    <t>Material - Plastic</t>
  </si>
  <si>
    <t>Steering wheel bolts holes</t>
  </si>
  <si>
    <t>Axles holes</t>
  </si>
  <si>
    <t>Machine - Hole Length &gt;= 4D</t>
  </si>
  <si>
    <t>Rectangular 40 mm x 35 mm</t>
  </si>
  <si>
    <t>Rocker axles holes</t>
  </si>
  <si>
    <t>Paddles mounting holes</t>
  </si>
  <si>
    <t>Paddles mounting threads</t>
  </si>
  <si>
    <t>Rectangular 125 mm x 45 mm</t>
  </si>
  <si>
    <t>Paddle contouring</t>
  </si>
  <si>
    <t>Material - Titanium</t>
  </si>
  <si>
    <t xml:space="preserve">The gearshifting system relies on a solenoid. The linkage with the pilot is therefore made by the electrical harness. </t>
  </si>
  <si>
    <t>Proshift gearshifting actuator</t>
  </si>
  <si>
    <t>Actuator right steel mount</t>
  </si>
  <si>
    <t>Actuator right aluminium mount</t>
  </si>
  <si>
    <t>Actuator left steel mount</t>
  </si>
  <si>
    <t>Actuator left aluminium mount</t>
  </si>
  <si>
    <t>Right half-collar</t>
  </si>
  <si>
    <t xml:space="preserve"> Left half-collar</t>
  </si>
  <si>
    <t>Gearshift lever</t>
  </si>
  <si>
    <t>Bearing between the actuator and the lever</t>
  </si>
  <si>
    <t>Aluminium mounts on steel mounts</t>
  </si>
  <si>
    <t>M4 bolts installation</t>
  </si>
  <si>
    <t>Half-collars mounts on aluminium mounts</t>
  </si>
  <si>
    <t xml:space="preserve">Ratchet &lt;= 25.4 mm </t>
  </si>
  <si>
    <t>M8 bolts installation</t>
  </si>
  <si>
    <t>Wrench &lt;= 25,4 mm</t>
  </si>
  <si>
    <t>M8 nuts installation</t>
  </si>
  <si>
    <t>Reaction tool &lt;= 25,4 mm</t>
  </si>
  <si>
    <t>Assemble, 3 kg, Line on line</t>
  </si>
  <si>
    <t>Gearshifter installation</t>
  </si>
  <si>
    <t>M5 bolts installation</t>
  </si>
  <si>
    <t>Rod end bearing on gearshifter</t>
  </si>
  <si>
    <t>Hand, Loose &lt;=6,35 mm</t>
  </si>
  <si>
    <t>Rod end installation</t>
  </si>
  <si>
    <t>M6 nut installation</t>
  </si>
  <si>
    <t>Gearshift lever on rod end bearing</t>
  </si>
  <si>
    <t>M6 bolt installation</t>
  </si>
  <si>
    <t>Reaction tool&lt;=6,35mm</t>
  </si>
  <si>
    <t>M6 nut blocking</t>
  </si>
  <si>
    <t>Gearshiter lever on engine gearshifting shaft</t>
  </si>
  <si>
    <t>Half-collars  on Actuator aluminium mounts</t>
  </si>
  <si>
    <t>Rod end bearing on Gearshift lever</t>
  </si>
  <si>
    <t>Right half-collar on Left half-collar</t>
  </si>
  <si>
    <t>Gearshift lever on Engine gearshifting shaft</t>
  </si>
  <si>
    <t>Actuator aluminium mounts on Actuator steel mounts</t>
  </si>
  <si>
    <t>Gearshifting actuator bought in a kit and closest in dimensions, functionalities and fonctions to the pingel easy shift kit</t>
  </si>
  <si>
    <t>Shifter, Automatic, Pingel Easy Shift Kit</t>
  </si>
  <si>
    <t>Gearshifting actuation (the pingel easy shift kit is the closest gearshifting system to the Proshift PSU gearshifting kit)</t>
  </si>
  <si>
    <t xml:space="preserve">Rectangular        32 mm x 32 mm </t>
  </si>
  <si>
    <t>Machining Setup Change</t>
  </si>
  <si>
    <t>Central groove machinig</t>
  </si>
  <si>
    <t>Aluminium right mount fixating holes</t>
  </si>
  <si>
    <t>Main shape contouring and hollowing out</t>
  </si>
  <si>
    <t>Axle supporting hole</t>
  </si>
  <si>
    <t xml:space="preserve">Reduction in thickness in the </t>
  </si>
  <si>
    <t>Mounting holes</t>
  </si>
  <si>
    <t xml:space="preserve">Rectangular        48 mm x 32 mm </t>
  </si>
  <si>
    <t>Aluminium left mount fixating holes</t>
  </si>
  <si>
    <t>The two half collars are made from the same raw material</t>
  </si>
  <si>
    <t>Demi disc Ø 88mm</t>
  </si>
  <si>
    <t>Left half-collar</t>
  </si>
  <si>
    <t>Main shape contouring and cut</t>
  </si>
  <si>
    <t>Material for splined cylinder</t>
  </si>
  <si>
    <t xml:space="preserve">Rectangular        26 mm x 22 mm </t>
  </si>
  <si>
    <t>Material for tab</t>
  </si>
  <si>
    <t xml:space="preserve">Rectangular        79 mm x 22 mm </t>
  </si>
  <si>
    <t>Contouring</t>
  </si>
  <si>
    <t>Broach,Internal</t>
  </si>
  <si>
    <t>Splines broaching</t>
  </si>
  <si>
    <t xml:space="preserve">Lever body laser cutting </t>
  </si>
  <si>
    <t xml:space="preserve">Lever body on splines welding </t>
  </si>
  <si>
    <t>Left and Right half collars made as a single machined part which is then cut in half</t>
  </si>
  <si>
    <t>A0007</t>
  </si>
  <si>
    <t>Complete Body assembly</t>
  </si>
  <si>
    <t>Front fastener pushclip</t>
  </si>
  <si>
    <t>Front fastener rod</t>
  </si>
  <si>
    <t>Front  Lateral Mount 2</t>
  </si>
  <si>
    <t>Air Inlet Reinforcement</t>
  </si>
  <si>
    <t>Lower body close-out</t>
  </si>
  <si>
    <t>Paint (cost included in process)</t>
  </si>
  <si>
    <t>Protect steel tabs from rust</t>
  </si>
  <si>
    <t>Weld body mounts to frame</t>
  </si>
  <si>
    <t>Paint welded steel tabs to protect from rust</t>
  </si>
  <si>
    <t>Front fastener rods on tabs</t>
  </si>
  <si>
    <t>M8 nuts tightening</t>
  </si>
  <si>
    <t>Assemble, 1kg, Line on line</t>
  </si>
  <si>
    <t>Front fasteners pushclips on body front</t>
  </si>
  <si>
    <t>Pushclips nuts tightening</t>
  </si>
  <si>
    <t>Body front</t>
  </si>
  <si>
    <t>Assemble,1kg, Line on line</t>
  </si>
  <si>
    <t>Front fasteners clip</t>
  </si>
  <si>
    <t>Other body panels</t>
  </si>
  <si>
    <t>Air inlet reinforcements</t>
  </si>
  <si>
    <t>Front fastener rods nuts</t>
  </si>
  <si>
    <t>Front fastener rods washers</t>
  </si>
  <si>
    <t>Front fastener pushclip nuts</t>
  </si>
  <si>
    <t>Fix body parts in place</t>
  </si>
  <si>
    <t>Weld-Welding fixture</t>
  </si>
  <si>
    <t>Body mount tabs</t>
  </si>
  <si>
    <t>FR 08001</t>
  </si>
  <si>
    <t>Carbon fiber body parts</t>
  </si>
  <si>
    <t>Body Front</t>
  </si>
  <si>
    <t>Body Front Left</t>
  </si>
  <si>
    <t>Body Front Right</t>
  </si>
  <si>
    <t>Body Rear Left</t>
  </si>
  <si>
    <t>Body Rear Right</t>
  </si>
  <si>
    <t>Body Air Inlet Left</t>
  </si>
  <si>
    <t>Body Air Inlet Right</t>
  </si>
  <si>
    <t>Aramid (Kevlar) Fiber, 1 Ply</t>
  </si>
  <si>
    <t>Resin application, Manual</t>
  </si>
  <si>
    <t>Drilled hole &lt; 50.8 mm dia.</t>
  </si>
  <si>
    <t>Body Front Lateral parts</t>
  </si>
  <si>
    <t>Body Rear Lateral parts</t>
  </si>
  <si>
    <t>Body Air Inlet parts</t>
  </si>
  <si>
    <t>Non-metallic cutting &lt;= 50.8 mm</t>
  </si>
  <si>
    <t>Cutouts for suspension tabs and steering rods</t>
  </si>
  <si>
    <t>Material - Composite</t>
  </si>
  <si>
    <t>Non-metallic cutting &lt;= 76.2 mm</t>
  </si>
  <si>
    <t>Mold for body parts</t>
  </si>
  <si>
    <t>FR 08002</t>
  </si>
  <si>
    <t>Steel tab for body mount</t>
  </si>
  <si>
    <t>Steel,Mild</t>
  </si>
  <si>
    <t>Rectangular           113 mm x 42 mm</t>
  </si>
  <si>
    <t>Setup and remove from laser machine</t>
  </si>
  <si>
    <t>FR 08003</t>
  </si>
  <si>
    <t>Rectangular           105 mm x 42 mm</t>
  </si>
  <si>
    <t>FR 08004</t>
  </si>
  <si>
    <t>Rectangular            150 mm x 42 mm</t>
  </si>
  <si>
    <t>FR 08005</t>
  </si>
  <si>
    <t>Cost as made</t>
  </si>
  <si>
    <t>Material for main part</t>
  </si>
  <si>
    <t>Round diameter 34mm</t>
  </si>
  <si>
    <t>Material for push button</t>
  </si>
  <si>
    <t>Round diameter 12mm</t>
  </si>
  <si>
    <t>Steel,Stainless</t>
  </si>
  <si>
    <t>Material for steel insert</t>
  </si>
  <si>
    <t>Round diameter 20mm</t>
  </si>
  <si>
    <t>Spring , compression</t>
  </si>
  <si>
    <t>Recoil spring</t>
  </si>
  <si>
    <t>Setup and remove from the machine</t>
  </si>
  <si>
    <t>Main part machining</t>
  </si>
  <si>
    <t>button machining</t>
  </si>
  <si>
    <t>Steel insert machining</t>
  </si>
  <si>
    <t>Threading , internal</t>
  </si>
  <si>
    <t>Main part threading</t>
  </si>
  <si>
    <t>Threading, external</t>
  </si>
  <si>
    <t>Steel insert threading</t>
  </si>
  <si>
    <t>Assembling of the different parts</t>
  </si>
  <si>
    <t>FR 08006</t>
  </si>
  <si>
    <t>Stainless steel</t>
  </si>
  <si>
    <t>Round diameter 10 mm</t>
  </si>
  <si>
    <t>Threading,external</t>
  </si>
  <si>
    <t>FR 08007</t>
  </si>
  <si>
    <t>Rectangular             106 mm x 42 mm</t>
  </si>
  <si>
    <t>FR 08008</t>
  </si>
  <si>
    <t>Rectangular             119 mm x 42 mm</t>
  </si>
  <si>
    <t>FR 08009</t>
  </si>
  <si>
    <t>Rectangular                 103 mm x 42 mm</t>
  </si>
  <si>
    <t>FR 08010</t>
  </si>
  <si>
    <t>Rectangular          108 mm x 42 mm</t>
  </si>
  <si>
    <t>FR 08011</t>
  </si>
  <si>
    <t>Rectangular        85 mm x 42 mm</t>
  </si>
  <si>
    <t>FR 08012</t>
  </si>
  <si>
    <t>Rectangular         101 mm x 42 mm</t>
  </si>
  <si>
    <t>FR 08013</t>
  </si>
  <si>
    <t>Rectangular     98 mm x 42 mm</t>
  </si>
  <si>
    <t>FR 08014</t>
  </si>
  <si>
    <t>Rectangular     198 mm x 42 mm</t>
  </si>
  <si>
    <t>FR 08015</t>
  </si>
  <si>
    <t>Rectangular     130 mm x 42 mm</t>
  </si>
  <si>
    <t>FR 08016</t>
  </si>
  <si>
    <t>Rectangular     141 mm x 42 mm</t>
  </si>
  <si>
    <t>Rectangular         39 mm x 17 mm</t>
  </si>
  <si>
    <t>Mount contouring</t>
  </si>
  <si>
    <t>Mount reinforcement contouring</t>
  </si>
  <si>
    <t>Reinforcement welding</t>
  </si>
  <si>
    <t>Gusset reinforcement</t>
  </si>
  <si>
    <t>FR 08017</t>
  </si>
  <si>
    <t>Rectangular        141 mm x 42 mm</t>
  </si>
  <si>
    <t>Rectangular     40 mm x 17 mm</t>
  </si>
  <si>
    <t>FR 08018</t>
  </si>
  <si>
    <t>Twisted bar to reinforce air inlets</t>
  </si>
  <si>
    <t>Rectangular 50 mm x 600 mm</t>
  </si>
  <si>
    <t>Shape and holes</t>
  </si>
  <si>
    <t>Twisted bar</t>
  </si>
  <si>
    <t>FR 08019</t>
  </si>
  <si>
    <t>Rectangular 500 mm x 300 mm</t>
  </si>
  <si>
    <t>Battery assembly</t>
  </si>
  <si>
    <t>Battery with fuse protection</t>
  </si>
  <si>
    <t>Battery tab</t>
  </si>
  <si>
    <t>Battery bracket</t>
  </si>
  <si>
    <t>Master switch mount</t>
  </si>
  <si>
    <t>Protect tabs from rust</t>
  </si>
  <si>
    <t>Battery bracket mount</t>
  </si>
  <si>
    <t>Battery, Advanced Chemistry (NiMH, Li-Ion, etc.)</t>
  </si>
  <si>
    <t>Starter battery, LiFePO4</t>
  </si>
  <si>
    <t>Master switch</t>
  </si>
  <si>
    <t>Wire, power</t>
  </si>
  <si>
    <t>Battery cables</t>
  </si>
  <si>
    <t>Connector, Single Wire</t>
  </si>
  <si>
    <t>Battery terminals</t>
  </si>
  <si>
    <t>wire</t>
  </si>
  <si>
    <t>Ground cable</t>
  </si>
  <si>
    <t>Fuse, power</t>
  </si>
  <si>
    <t>Battery Protection Fuse</t>
  </si>
  <si>
    <t>Fuse Box</t>
  </si>
  <si>
    <t>Battery Protection Fuse Box</t>
  </si>
  <si>
    <t>pins</t>
  </si>
  <si>
    <t>Weld tab to frame</t>
  </si>
  <si>
    <t>Paint to protect tab from rust</t>
  </si>
  <si>
    <t>Put battery bracket in place</t>
  </si>
  <si>
    <t>Battery bracket fasteners</t>
  </si>
  <si>
    <t>Insert battery</t>
  </si>
  <si>
    <t>Master switch mount bolts</t>
  </si>
  <si>
    <t>Reaction tool &lt;= 6.35 mm</t>
  </si>
  <si>
    <t>Master switch and fuse bolts</t>
  </si>
  <si>
    <t>Cut wire</t>
  </si>
  <si>
    <t>Cut wires  to length</t>
  </si>
  <si>
    <t>Strip wire</t>
  </si>
  <si>
    <t>Strip wire ends</t>
  </si>
  <si>
    <t>Crimp Wire</t>
  </si>
  <si>
    <t>All single-wire connectors</t>
  </si>
  <si>
    <t>Wire Dressing (Install and route)</t>
  </si>
  <si>
    <t>Battery and ground wires</t>
  </si>
  <si>
    <t>Attach Wire, Ring</t>
  </si>
  <si>
    <t>Ground wire</t>
  </si>
  <si>
    <t>Master switch terminsals</t>
  </si>
  <si>
    <t>Battery wire fasteners</t>
  </si>
  <si>
    <t>Battery fuse fasteners</t>
  </si>
  <si>
    <t>Master switch fasteners</t>
  </si>
  <si>
    <t>Master switch wire nuts</t>
  </si>
  <si>
    <t>Ground wire to chassis</t>
  </si>
  <si>
    <t>Weld battery tabs to frame</t>
  </si>
  <si>
    <t>Rectangular          32 mm x 27 mm</t>
  </si>
  <si>
    <t>Shape outline and hole</t>
  </si>
  <si>
    <t>Housing for the battery</t>
  </si>
  <si>
    <t>Rectangular          130 mm x 90 mm</t>
  </si>
  <si>
    <t>Weld parts together</t>
  </si>
  <si>
    <t>Paint - Protect from rust</t>
  </si>
  <si>
    <t>Rectangular          170 mm x 130 mm</t>
  </si>
  <si>
    <t>Dashboard with gauges and switches</t>
  </si>
  <si>
    <t>Dashboard tab</t>
  </si>
  <si>
    <t>Gear indicator mount</t>
  </si>
  <si>
    <t>Gauge, Analog</t>
  </si>
  <si>
    <t>RPM tachometer</t>
  </si>
  <si>
    <t>Water temp. gauge</t>
  </si>
  <si>
    <t>Gauge, Analog Housing</t>
  </si>
  <si>
    <t>Housings for both gauges</t>
  </si>
  <si>
    <t>Cockpit master switch</t>
  </si>
  <si>
    <t>Lamp, LED</t>
  </si>
  <si>
    <t>Dashboard indicators and shiftlight</t>
  </si>
  <si>
    <t>Switch, Pushbutton</t>
  </si>
  <si>
    <t>Engine start</t>
  </si>
  <si>
    <t>Power (on-off)</t>
  </si>
  <si>
    <t>Manual fan power</t>
  </si>
  <si>
    <t>Protect welded steel tabs from rust</t>
  </si>
  <si>
    <t>weld tabs to chassis</t>
  </si>
  <si>
    <t>Put dashboard in position</t>
  </si>
  <si>
    <t>Bolt dashboard to tabs</t>
  </si>
  <si>
    <t>Reaction tool for M4 nuts</t>
  </si>
  <si>
    <t>Assemble, 1 kg, Line-on-line</t>
  </si>
  <si>
    <t>Install switches and LED indicators</t>
  </si>
  <si>
    <t>Tighten indicators</t>
  </si>
  <si>
    <t>Tighten switches</t>
  </si>
  <si>
    <t>Install gauges</t>
  </si>
  <si>
    <t>Tighten gauges (screws)</t>
  </si>
  <si>
    <t>Assemble gear indicator</t>
  </si>
  <si>
    <t>Assemble gear indicator mount</t>
  </si>
  <si>
    <t>Fix dashboard to tabs</t>
  </si>
  <si>
    <t>Fix gear indicator tab to dashboard</t>
  </si>
  <si>
    <t>Dashboard tabs</t>
  </si>
  <si>
    <t>Aluminium dashboard</t>
  </si>
  <si>
    <t>Aluminium, normal</t>
  </si>
  <si>
    <t>Rectangular area 530mm x 112mmm</t>
  </si>
  <si>
    <t>Steel tab welded to frame</t>
  </si>
  <si>
    <t>6 parts made from a single machining setup</t>
  </si>
  <si>
    <t>Gear indicator</t>
  </si>
  <si>
    <t>Part bought, cost as made</t>
  </si>
  <si>
    <t>Display, 7 Segment</t>
  </si>
  <si>
    <t>Display gear number</t>
  </si>
  <si>
    <t>Chassis Control Module, Baseline Enclosure</t>
  </si>
  <si>
    <t>Indicator enclosure</t>
  </si>
  <si>
    <t>Chassis Control Module, +Dashboard</t>
  </si>
  <si>
    <t>Control gear number</t>
  </si>
  <si>
    <t>Assemble parts together</t>
  </si>
  <si>
    <t>Gear indicator Mount</t>
  </si>
  <si>
    <t>Mount for gear indicator</t>
  </si>
  <si>
    <t>Rectangular area 90mm x 30mm</t>
  </si>
  <si>
    <t>Activate traction control</t>
  </si>
  <si>
    <t>Launch control</t>
  </si>
  <si>
    <t>Arduino controller</t>
  </si>
  <si>
    <t>Process signals between engine and ECU</t>
  </si>
  <si>
    <t>EL 02005</t>
  </si>
  <si>
    <t>Arduino Controller</t>
  </si>
  <si>
    <t>Fix Arduino controller behind dashboard</t>
  </si>
  <si>
    <t>Forward wiring harness</t>
  </si>
  <si>
    <t>Ground tab</t>
  </si>
  <si>
    <t>Wire, control/signal</t>
  </si>
  <si>
    <t>From firewall to dashboard</t>
  </si>
  <si>
    <t>All other dashboard wires</t>
  </si>
  <si>
    <t>Clutch switch</t>
  </si>
  <si>
    <t>Wire Sleeving, Expandable</t>
  </si>
  <si>
    <t>Gearshifter wiring</t>
  </si>
  <si>
    <t>Wire Sleeving, Split</t>
  </si>
  <si>
    <t>All other wiring</t>
  </si>
  <si>
    <t>connector, aerospace quality</t>
  </si>
  <si>
    <t>Firewall connector</t>
  </si>
  <si>
    <t>Gearshifter connector</t>
  </si>
  <si>
    <t>connector, OEM quality</t>
  </si>
  <si>
    <t>Dashboard switches and shift-light</t>
  </si>
  <si>
    <t>Dashboard ground rings</t>
  </si>
  <si>
    <t>Water temp gauge protection fuse</t>
  </si>
  <si>
    <t>Fuse, Control</t>
  </si>
  <si>
    <t>Relay, Signal</t>
  </si>
  <si>
    <t>Water temp gauge</t>
  </si>
  <si>
    <t>To cover all soldered connections</t>
  </si>
  <si>
    <t>Weld ground tabs behind dashboard</t>
  </si>
  <si>
    <t>Ground weldnut on ground tab</t>
  </si>
  <si>
    <t>Cut all wires to correct lengths</t>
  </si>
  <si>
    <t>All quick-connect terminals</t>
  </si>
  <si>
    <t>Ground rings</t>
  </si>
  <si>
    <t>Attach Wire, Quick connect terminal</t>
  </si>
  <si>
    <t>Bolt for ground rings and relay</t>
  </si>
  <si>
    <t xml:space="preserve">Nut for ground rings </t>
  </si>
  <si>
    <t>Bolt for ground rings with weldnut</t>
  </si>
  <si>
    <t>Connector Assembley, Crimp</t>
  </si>
  <si>
    <t>overtravel switch connector - 2 pins</t>
  </si>
  <si>
    <t>contacts</t>
  </si>
  <si>
    <t>repeat 2</t>
  </si>
  <si>
    <t>Attach Wire, Solder wire, straight</t>
  </si>
  <si>
    <t>overtravel switch pins</t>
  </si>
  <si>
    <t>assemble connector -square, latch</t>
  </si>
  <si>
    <t>overtravel switch connector</t>
  </si>
  <si>
    <t>gear indicator  - 3 pins</t>
  </si>
  <si>
    <t>gear indicator connector</t>
  </si>
  <si>
    <t>Connector Assembley, Solder</t>
  </si>
  <si>
    <t>front firewall connectors (male)</t>
  </si>
  <si>
    <t>Connector Install, Circular, Screw Thread</t>
  </si>
  <si>
    <t>Plug wires into firewall</t>
  </si>
  <si>
    <t>Gearshifter connector - 3 pins</t>
  </si>
  <si>
    <t>Connector Install, Circular, friction</t>
  </si>
  <si>
    <t>Attach Wire, Solder wire, not bent</t>
  </si>
  <si>
    <t>All wire-to-wire connections</t>
  </si>
  <si>
    <t>Cut (scissors,knife)</t>
  </si>
  <si>
    <t>cut the Heat Shrink tubing to lengh</t>
  </si>
  <si>
    <t>repeat 44</t>
  </si>
  <si>
    <t>Cover all soldered connections</t>
  </si>
  <si>
    <t>Install and route wiring harness</t>
  </si>
  <si>
    <t>Insert Bundle Into Tube or Sleeve</t>
  </si>
  <si>
    <t xml:space="preserve">Install Tie Wrap </t>
  </si>
  <si>
    <t>Bolt ground rings to ground tabs</t>
  </si>
  <si>
    <t>Bolt ground rings to ground tab</t>
  </si>
  <si>
    <t>Ground tabs nut - to be welded</t>
  </si>
  <si>
    <t>Wiring harness</t>
  </si>
  <si>
    <t>Ground tabs + weldnut</t>
  </si>
  <si>
    <t>material for tab</t>
  </si>
  <si>
    <t>Rectangular area 40mm x 40mm</t>
  </si>
  <si>
    <t>2 parts made from a single machining setup</t>
  </si>
  <si>
    <t>EL 03002</t>
  </si>
  <si>
    <t>Wheel Sensor Mount</t>
  </si>
  <si>
    <t>Used to mount hall effect sensor on upright</t>
  </si>
  <si>
    <t>Rectangular area 100mm x 40mm</t>
  </si>
  <si>
    <t>Sensor, Hall Effect</t>
  </si>
  <si>
    <t>Wheel Speed Sensor, hall effect</t>
  </si>
  <si>
    <t>Install Wheel speed sensor mount on upright</t>
  </si>
  <si>
    <t>Install Hall-effect (wheel speed) sensor</t>
  </si>
  <si>
    <t>Wiring harness fore of the firewall including wheel sensor components</t>
  </si>
  <si>
    <t>Rear wiring harness</t>
  </si>
  <si>
    <t>All parts of the wiring harness behind the firewall</t>
  </si>
  <si>
    <t>Electrical system tab</t>
  </si>
  <si>
    <t>Brake light tab</t>
  </si>
  <si>
    <t>Glue for ECU (cost included in process)</t>
  </si>
  <si>
    <t>ECU, DTA, S60 Pro</t>
  </si>
  <si>
    <t>Engine control unit</t>
  </si>
  <si>
    <t>Sensor, Air Temperature</t>
  </si>
  <si>
    <t>IAT sensor</t>
  </si>
  <si>
    <t>Sensor, Angular Position</t>
  </si>
  <si>
    <t>TPS</t>
  </si>
  <si>
    <t>Sensor, Manifold Absolute Pressure (MAP)</t>
  </si>
  <si>
    <t>MAP sensor</t>
  </si>
  <si>
    <t>Sensor, Two State Position</t>
  </si>
  <si>
    <t>Neutral Sensor</t>
  </si>
  <si>
    <t>Oil pressure switch</t>
  </si>
  <si>
    <t>Sensor, Thermocouple</t>
  </si>
  <si>
    <t>ECT sensor</t>
  </si>
  <si>
    <t>Sensor, Wide Band Air Fuel Ratio</t>
  </si>
  <si>
    <t>Wide band lambda sensor</t>
  </si>
  <si>
    <t>Speed Sensor</t>
  </si>
  <si>
    <t>Ignition Pulse Generator</t>
  </si>
  <si>
    <t>Cam Pulse Generator</t>
  </si>
  <si>
    <t>Neutral sensor</t>
  </si>
  <si>
    <t>ECU connector</t>
  </si>
  <si>
    <t xml:space="preserve">Diagnostics </t>
  </si>
  <si>
    <t>Connector, High Power, &gt; 2 Amps</t>
  </si>
  <si>
    <t>Alternator</t>
  </si>
  <si>
    <t>Regulator/Rectifier</t>
  </si>
  <si>
    <t>Fuel pump</t>
  </si>
  <si>
    <t>Starter Relay</t>
  </si>
  <si>
    <t>Rear brake light</t>
  </si>
  <si>
    <t>Ignition Coils</t>
  </si>
  <si>
    <t>Fuel injectors</t>
  </si>
  <si>
    <t>Starter motor</t>
  </si>
  <si>
    <t>Gearshifter bullet connectors</t>
  </si>
  <si>
    <t>Gearshifter wires (Proshift)</t>
  </si>
  <si>
    <t>Connector, OEM quality</t>
  </si>
  <si>
    <t>Wires towards "Forward Wiring Harness"</t>
  </si>
  <si>
    <t>Relay, power</t>
  </si>
  <si>
    <t>Engine stop, fuel, fan, starter</t>
  </si>
  <si>
    <t>Fuses housing</t>
  </si>
  <si>
    <t>Various fuses</t>
  </si>
  <si>
    <t>Gearshifter and main fuse</t>
  </si>
  <si>
    <t>Wire, signal</t>
  </si>
  <si>
    <t>Signal wires for sensors/diagnostics</t>
  </si>
  <si>
    <t>Wire, control</t>
  </si>
  <si>
    <t>Gearshifter control module wires</t>
  </si>
  <si>
    <t>Wires from firewall connectors</t>
  </si>
  <si>
    <t>Wires for power, relays and devices</t>
  </si>
  <si>
    <t>Wires from firewall</t>
  </si>
  <si>
    <t>Wire routing and protection</t>
  </si>
  <si>
    <t>Lamp, Brake with Housing</t>
  </si>
  <si>
    <t>Weld electrical system tabs to frame</t>
  </si>
  <si>
    <t>Weldnuts</t>
  </si>
  <si>
    <t>Cut all wires for sensors to length</t>
  </si>
  <si>
    <t>Cut other signal/control wires  to length</t>
  </si>
  <si>
    <t>Cut firewall connector wires  to length</t>
  </si>
  <si>
    <t>Cut all power wires  to length</t>
  </si>
  <si>
    <t>Firewall connector terminals</t>
  </si>
  <si>
    <t>Crimp all other connector terminals</t>
  </si>
  <si>
    <t>Ground rings and fuel pump</t>
  </si>
  <si>
    <t>repeat 48</t>
  </si>
  <si>
    <t>Taping Wire Bundle</t>
  </si>
  <si>
    <t>Tape large wire bundles</t>
  </si>
  <si>
    <t>Lay wire - power</t>
  </si>
  <si>
    <t>Brake-light switch wire</t>
  </si>
  <si>
    <t>Install and route wiring harness, fix ECU</t>
  </si>
  <si>
    <t>Gearshifter control unit on bracket</t>
  </si>
  <si>
    <t>Gearshifter control unit control bolt</t>
  </si>
  <si>
    <t>Reaction tool for Gearshifter unit nuts</t>
  </si>
  <si>
    <t>Liquid Apply - Spot</t>
  </si>
  <si>
    <t>Adhesive (glue) on ECU</t>
  </si>
  <si>
    <t>Glue ECU on ECU bracket</t>
  </si>
  <si>
    <t>Assemble ECU bracket on tabs</t>
  </si>
  <si>
    <t>Tighten ECU bracket M6 bolt</t>
  </si>
  <si>
    <t>Put voltage rectifier/regulator in place</t>
  </si>
  <si>
    <t>Bolt voltage regulator in place</t>
  </si>
  <si>
    <t>Reaction tool for M6 bolts</t>
  </si>
  <si>
    <t>Mount brake light</t>
  </si>
  <si>
    <t>Brake light nuts</t>
  </si>
  <si>
    <t>Assemble connector -square, latch</t>
  </si>
  <si>
    <t>Plug in all connectors</t>
  </si>
  <si>
    <t>ECU bracket and regulator bolts</t>
  </si>
  <si>
    <t>ECU bracket and regulator nuts</t>
  </si>
  <si>
    <t>ECU bracket nut - to be welded</t>
  </si>
  <si>
    <t>ECU bracket and regulator</t>
  </si>
  <si>
    <t>Gearshifter control unit</t>
  </si>
  <si>
    <t>Brake light washers</t>
  </si>
  <si>
    <t>Wiring harness routing and ECU mount</t>
  </si>
  <si>
    <t>Ground tabs + weldnuts</t>
  </si>
  <si>
    <t>3 parts cut from a single steel sheet and single machine setup</t>
  </si>
  <si>
    <t>Cutout shape and holes</t>
  </si>
  <si>
    <t>ECU plate</t>
  </si>
  <si>
    <t>Aluminium plate for ECU mount</t>
  </si>
  <si>
    <t>Rectangular area 250mm x 200mm</t>
  </si>
  <si>
    <t>Edge bend</t>
  </si>
  <si>
    <t>2 parts cut from a single steel sheet and single machine setup</t>
  </si>
  <si>
    <t>Install lambda sensor</t>
  </si>
  <si>
    <t>A0001</t>
  </si>
  <si>
    <t>Aluminium firewall</t>
  </si>
  <si>
    <t>Firewall main plate</t>
  </si>
  <si>
    <t>Firewall rear right plate</t>
  </si>
  <si>
    <t>Firewall rear left plate</t>
  </si>
  <si>
    <t>Firewall right plate</t>
  </si>
  <si>
    <t>Firewall left plate</t>
  </si>
  <si>
    <t>Firewall pass-through plate 1</t>
  </si>
  <si>
    <t>Firewall pass-through plate 2</t>
  </si>
  <si>
    <t>Tab  5-9</t>
  </si>
  <si>
    <t>Grommet, Elastomer</t>
  </si>
  <si>
    <t>Cable pass-throughs</t>
  </si>
  <si>
    <t>Steel tabs painting</t>
  </si>
  <si>
    <t>Aeroso lapply</t>
  </si>
  <si>
    <t>Tabs painting</t>
  </si>
  <si>
    <t>Assemble, 1kg, Line-on-line</t>
  </si>
  <si>
    <t>Right and left plates installation</t>
  </si>
  <si>
    <t>Side plates riveting</t>
  </si>
  <si>
    <t>Assemble, 3kg, Interference</t>
  </si>
  <si>
    <t>Main plate installation</t>
  </si>
  <si>
    <t>Main plate riveting</t>
  </si>
  <si>
    <t>Assemble ,1 kg, Line-on-line</t>
  </si>
  <si>
    <t>Rear plates installation</t>
  </si>
  <si>
    <t>Rear plates riveting</t>
  </si>
  <si>
    <t>Brush apply (glue)</t>
  </si>
  <si>
    <t>Pass-through plates gluing</t>
  </si>
  <si>
    <t>Pass-through grommets installation</t>
  </si>
  <si>
    <t>Pass-through plates installation</t>
  </si>
  <si>
    <t xml:space="preserve">Riveting </t>
  </si>
  <si>
    <t>Pass-through plates riveting</t>
  </si>
  <si>
    <t>Firewall sealing with aluminium tape</t>
  </si>
  <si>
    <t>Firewall rivetting</t>
  </si>
  <si>
    <t>Firewall main plate fixing</t>
  </si>
  <si>
    <t>Nutsert</t>
  </si>
  <si>
    <t>Rectangular      742 mm x 726 mm</t>
  </si>
  <si>
    <t>Rectangular    232 mm x 135 mm</t>
  </si>
  <si>
    <t>Rectangular      457 mm x 380 mm</t>
  </si>
  <si>
    <t>Rectangular    457 mm x 380 mm</t>
  </si>
  <si>
    <t>Firewall pass through plate 1</t>
  </si>
  <si>
    <t>Rectangular   185 mm x 147 mm</t>
  </si>
  <si>
    <t>Firewall pass through plate 2</t>
  </si>
  <si>
    <t>Rectangular     228 mm x 166 mm</t>
  </si>
  <si>
    <t>Rectangular     35 mm x 30 mm</t>
  </si>
  <si>
    <t>Rectangular     565 mm x 74 mm</t>
  </si>
  <si>
    <t>Driver harness assembly</t>
  </si>
  <si>
    <t>Harness, Driver</t>
  </si>
  <si>
    <t xml:space="preserve">6-point safety harness </t>
  </si>
  <si>
    <t>Weld harness tab to frame</t>
  </si>
  <si>
    <t>Assemble eyebolts</t>
  </si>
  <si>
    <t>Tighten eyebolts</t>
  </si>
  <si>
    <t>Reaction Tool &lt;= 25,4mm</t>
  </si>
  <si>
    <t>Assemble, 3kg, Loose</t>
  </si>
  <si>
    <t>Assemble harness</t>
  </si>
  <si>
    <t>Eyebolt</t>
  </si>
  <si>
    <t>Attach harness</t>
  </si>
  <si>
    <t>Washer, Grade AN</t>
  </si>
  <si>
    <t>Steel tab for harness eyebolt</t>
  </si>
  <si>
    <t>Ractangular area 25 mm x 30mm</t>
  </si>
  <si>
    <t>Cutout shape and hole</t>
  </si>
  <si>
    <t>Headrest assembly</t>
  </si>
  <si>
    <t>Head Rest Padding</t>
  </si>
  <si>
    <t>Headrest foam padding</t>
  </si>
  <si>
    <t>Fabric</t>
  </si>
  <si>
    <t>Imitation leather fabric to cover headrest</t>
  </si>
  <si>
    <t>Glue headrest padding to plate, cost included in process</t>
  </si>
  <si>
    <t>Assemble plate</t>
  </si>
  <si>
    <t>Ratchet &lt;= 6,35mm</t>
  </si>
  <si>
    <t>Bolt plate to tab</t>
  </si>
  <si>
    <t>Reaction Tool &lt;= 6,35mm</t>
  </si>
  <si>
    <t>Put support in position</t>
  </si>
  <si>
    <t>Assemble bolts</t>
  </si>
  <si>
    <t>Bolt plates to tab</t>
  </si>
  <si>
    <t>Reaction tool for nuts</t>
  </si>
  <si>
    <t>Cut headrest padding</t>
  </si>
  <si>
    <t>Cut headrest fabric</t>
  </si>
  <si>
    <t>Headrest fabric</t>
  </si>
  <si>
    <t>Glue foam to plate</t>
  </si>
  <si>
    <t>Assemble fabric onto headrest</t>
  </si>
  <si>
    <t>assemble side plate to side fixing</t>
  </si>
  <si>
    <t>assemble bottom plate to bottom fixing</t>
  </si>
  <si>
    <t>assemble support to plates</t>
  </si>
  <si>
    <t>For bolts</t>
  </si>
  <si>
    <t>Support</t>
  </si>
  <si>
    <t>Rectangular area 29mm x 280mm</t>
  </si>
  <si>
    <t>Cuout shape and holes</t>
  </si>
  <si>
    <t>Rectangular area 73,5mm x 20mm</t>
  </si>
  <si>
    <t>Rectangular area 60mm x 60mm</t>
  </si>
  <si>
    <t>Rectangular area 320mm x 35mm</t>
  </si>
  <si>
    <t>Bends</t>
  </si>
  <si>
    <t>Rectangular area 14mm x 60mm</t>
  </si>
  <si>
    <t>Glue Roll Bar Padding on Roll Bar</t>
  </si>
  <si>
    <t>Roll Hoop Padding</t>
  </si>
  <si>
    <t>Glue padding to Roll Hoop - cost included in process</t>
  </si>
  <si>
    <t>Apply glue to padding</t>
  </si>
  <si>
    <t>Seat mount tabs</t>
  </si>
  <si>
    <t>Self-Centering Washer for bolting in the seat</t>
  </si>
  <si>
    <t>Fix seat to seat mounts (which have nutserts)</t>
  </si>
  <si>
    <t>Fix lower seat mounts to lower tabs</t>
  </si>
  <si>
    <t>Fix rear seat mount to side seat tabs</t>
  </si>
  <si>
    <t>Fix intermediate seat mounts to rear seat mount</t>
  </si>
  <si>
    <t>Glue backrest padding on firewall</t>
  </si>
  <si>
    <t>Glue fabric on backrest padding</t>
  </si>
  <si>
    <t>Bolt seat to seat mounts</t>
  </si>
  <si>
    <t>Put seat into position</t>
  </si>
  <si>
    <t>Bolt lower seat mounts to lower seat tabs</t>
  </si>
  <si>
    <t>Bolt rear seat mount to side seat tabs</t>
  </si>
  <si>
    <t>Bolt intermediate seat mounts to rear seat mount</t>
  </si>
  <si>
    <t>To fix and cover foam under seat</t>
  </si>
  <si>
    <t>Place foam on tubes under seat</t>
  </si>
  <si>
    <t>Assemble, 1kg, Line-on-Line</t>
  </si>
  <si>
    <t>Cut foam pieces to correct lengths</t>
  </si>
  <si>
    <t>Weld 4 seat tabs to frame</t>
  </si>
  <si>
    <t>Glue for backrest (cost included in process)</t>
  </si>
  <si>
    <t>Upper backrest</t>
  </si>
  <si>
    <t>Padding for upper backrest</t>
  </si>
  <si>
    <t>To fix and cover foam (cost included in process)</t>
  </si>
  <si>
    <t>Place under seat to protect from chassis vibrations</t>
  </si>
  <si>
    <t>Structural Foam</t>
  </si>
  <si>
    <t>Rear intermediate seat mount</t>
  </si>
  <si>
    <t>Side intermediate seat mount</t>
  </si>
  <si>
    <t>Lower seat mount</t>
  </si>
  <si>
    <t>Rear seat mount</t>
  </si>
  <si>
    <t>Side seat tab</t>
  </si>
  <si>
    <t>Lower seat tab</t>
  </si>
  <si>
    <t>Seat assembly</t>
  </si>
  <si>
    <t>Adhesive velcro to put on Seat Padding</t>
  </si>
  <si>
    <t>Hook and Loop, Hook Side</t>
  </si>
  <si>
    <t>Adhesive velcro to put on seat</t>
  </si>
  <si>
    <t>Hook and Loop, Loop Side</t>
  </si>
  <si>
    <t>Attach padding to seat</t>
  </si>
  <si>
    <t>Stick velcro strips on padding</t>
  </si>
  <si>
    <t>Stick velcro strips on seat</t>
  </si>
  <si>
    <t>Cut out seat padding to right shapes</t>
  </si>
  <si>
    <t>Insert grommet strip on seat rear edge</t>
  </si>
  <si>
    <t>Insert grommet strips in seat cutouts</t>
  </si>
  <si>
    <t>Seat mount holes</t>
  </si>
  <si>
    <t>Cutout holes for harness</t>
  </si>
  <si>
    <t>Seat fabrication</t>
  </si>
  <si>
    <t>Repeat 4</t>
  </si>
  <si>
    <t>Rubber foam seat padding</t>
  </si>
  <si>
    <t>Rubber (per kg)</t>
  </si>
  <si>
    <t>Grommet for seat rear edge</t>
  </si>
  <si>
    <t>Grommet Seat Belt cutouts</t>
  </si>
  <si>
    <t>Seat material</t>
  </si>
  <si>
    <t>Glass Fiber, 1 Ply (per kg)</t>
  </si>
  <si>
    <t>Glass Fiber seat, cost as made</t>
  </si>
  <si>
    <t>Gusset</t>
  </si>
  <si>
    <t>Weld gusset</t>
  </si>
  <si>
    <t>Sheet metal bend</t>
  </si>
  <si>
    <t>cutout shape of gusset</t>
  </si>
  <si>
    <t>cutout shape of tab</t>
  </si>
  <si>
    <t>Install and remove from laser machine</t>
  </si>
  <si>
    <t>Rectangular area 60mm x 30mm</t>
  </si>
  <si>
    <t>Material for gusset</t>
  </si>
  <si>
    <t>Rectangular area 120mm x 30mm</t>
  </si>
  <si>
    <t>Steel part welded to chassis</t>
  </si>
  <si>
    <t xml:space="preserve">Lower Seat Tab </t>
  </si>
  <si>
    <t>2 parts made from a single machine setup</t>
  </si>
  <si>
    <t xml:space="preserve">Side Seat Tab </t>
  </si>
  <si>
    <t>Weld gussets</t>
  </si>
  <si>
    <t>cutout shape of gussets</t>
  </si>
  <si>
    <t>cutout shape of main part</t>
  </si>
  <si>
    <t>Rectangular area 650mm x 170mm</t>
  </si>
  <si>
    <t>Material for part and gussets</t>
  </si>
  <si>
    <t>Steel part which supports the seat</t>
  </si>
  <si>
    <t>To bolt seat to this part</t>
  </si>
  <si>
    <t>Nutsert (J-Nut)</t>
  </si>
  <si>
    <t>For nutsert (similar process to riveting)</t>
  </si>
  <si>
    <t>cutout shape outline and holes</t>
  </si>
  <si>
    <t>Steel Lower seat mount</t>
  </si>
  <si>
    <t>Rectangular area 60mm x 40mm</t>
  </si>
  <si>
    <t>Part onto which side of seat is bolted</t>
  </si>
  <si>
    <t>Part onto which back of seat is bolted</t>
  </si>
  <si>
    <t>Steering column</t>
  </si>
  <si>
    <t>Gearshift connector mount</t>
  </si>
  <si>
    <t>Steering Wheel Spacer</t>
  </si>
  <si>
    <t>Steering Column Universal Joint</t>
  </si>
  <si>
    <t>Universal Joints with plastic protections</t>
  </si>
  <si>
    <t>Steering wheel mount and column tab paint</t>
  </si>
  <si>
    <t>Bearing, Spherical</t>
  </si>
  <si>
    <t>Bearing for rotation of the second tube</t>
  </si>
  <si>
    <t>Bearings for rotation of the first tube</t>
  </si>
  <si>
    <t>Foam to protect the pilote from the steering column</t>
  </si>
  <si>
    <t>steering wheel mount welding</t>
  </si>
  <si>
    <t>Steering wheel mount painting</t>
  </si>
  <si>
    <t>Column Tab Welding</t>
  </si>
  <si>
    <t>Assemble of bearing ball in steering wheel mount and on first tube</t>
  </si>
  <si>
    <t>Put retaining ring</t>
  </si>
  <si>
    <t>Assemble column mount and column washer on column tab</t>
  </si>
  <si>
    <t>Assemble the spherical bearing in the column mount</t>
  </si>
  <si>
    <t>Assemble second tube in the spherical bearing</t>
  </si>
  <si>
    <t>Assemble gearshift connector mount</t>
  </si>
  <si>
    <t>Put the bolts on the column mount with nuts and washers</t>
  </si>
  <si>
    <t>Tighten the nut</t>
  </si>
  <si>
    <t>Holes on universal joints for pins</t>
  </si>
  <si>
    <t>Assemble third tube and universal joints</t>
  </si>
  <si>
    <t>Put pins into universal joints and tubes</t>
  </si>
  <si>
    <t>Quicksystem end welding</t>
  </si>
  <si>
    <t>Quicksystem assembling</t>
  </si>
  <si>
    <t>Steering wheel spacer assembling</t>
  </si>
  <si>
    <t>M5 bolts installing</t>
  </si>
  <si>
    <t>Assemble the steering wheel and the paddles on the spacer</t>
  </si>
  <si>
    <t>Assemble the foam on the third tube</t>
  </si>
  <si>
    <t>Pin, Cotter, Straight</t>
  </si>
  <si>
    <t>Bolt linking to rack and wheels</t>
  </si>
  <si>
    <t>Nuts for bolts</t>
  </si>
  <si>
    <t>Washers for bolts</t>
  </si>
  <si>
    <t>Bolts for steering wheel spacer</t>
  </si>
  <si>
    <t>Bolts for steering wheel</t>
  </si>
  <si>
    <t>Washers for M5 bolts</t>
  </si>
  <si>
    <t>Steering Wheel Mount Welding</t>
  </si>
  <si>
    <t>Quicksystem on third colum tube welding</t>
  </si>
  <si>
    <t>Column tab</t>
  </si>
  <si>
    <t>Stock for column tab</t>
  </si>
  <si>
    <t>Rectangular area 20mm x 60mm</t>
  </si>
  <si>
    <t>Outline and holes</t>
  </si>
  <si>
    <t>Material for column mount</t>
  </si>
  <si>
    <t>Rectangular area 18mm x 45mm</t>
  </si>
  <si>
    <t>Holes for assembly</t>
  </si>
  <si>
    <t>Setup for machining</t>
  </si>
  <si>
    <t>Reamed hole for spherical bearing</t>
  </si>
  <si>
    <t>Column mount washer</t>
  </si>
  <si>
    <t>Stock for column washer</t>
  </si>
  <si>
    <t>Rectangular area 20mm x 50mm</t>
  </si>
  <si>
    <t>Part which holds gearshift connector</t>
  </si>
  <si>
    <t>Stock for part</t>
  </si>
  <si>
    <t>Rectangular area 90mm x 90mm</t>
  </si>
  <si>
    <t>Round area Radius 23,5</t>
  </si>
  <si>
    <t>Liaison with the frame</t>
  </si>
  <si>
    <t xml:space="preserve"> mm </t>
  </si>
  <si>
    <t>Radius 9.5mm for column axis</t>
  </si>
  <si>
    <t>first hole for ball bearing</t>
  </si>
  <si>
    <t>Material Steel</t>
  </si>
  <si>
    <t>Reamed hole for ball bearing</t>
  </si>
  <si>
    <t>Setup for last machining process</t>
  </si>
  <si>
    <t>Second hole for ball bearing</t>
  </si>
  <si>
    <t>Preparation of the 2 tubes</t>
  </si>
  <si>
    <t>Welding of tubes on the machined part</t>
  </si>
  <si>
    <t>Steering Wheel spacer</t>
  </si>
  <si>
    <t>Round 60 mm</t>
  </si>
  <si>
    <t>Main shape contouring and turning</t>
  </si>
  <si>
    <t>Drilling of 3 holes through the whole part</t>
  </si>
  <si>
    <t>Sheet for the structure 2 mm thickness</t>
  </si>
  <si>
    <t>Rectangular area 250mm x 230mm</t>
  </si>
  <si>
    <t>Foam, Expanding, Non-Structural (per kg)</t>
  </si>
  <si>
    <t>Foam for torus form</t>
  </si>
  <si>
    <t>Fabric (per m^2)</t>
  </si>
  <si>
    <t>steering wheel covering</t>
  </si>
  <si>
    <t>Outline and holes for sheet</t>
  </si>
  <si>
    <t>Assemble of foam</t>
  </si>
  <si>
    <t>Preparation of covering</t>
  </si>
  <si>
    <t>Apply of covering</t>
  </si>
  <si>
    <t>Assemble of covering</t>
  </si>
  <si>
    <t>First column tube</t>
  </si>
  <si>
    <t>Round area Radius 12,5mm</t>
  </si>
  <si>
    <t>Hole for bushing</t>
  </si>
  <si>
    <t>reduction of radius for bearings</t>
  </si>
  <si>
    <t>Hole for quick release welding</t>
  </si>
  <si>
    <t>Holes for assembly with pins</t>
  </si>
  <si>
    <t>Second column tube</t>
  </si>
  <si>
    <t>Tube for steering column</t>
  </si>
  <si>
    <t>Third column tube</t>
  </si>
  <si>
    <t>ST 01010</t>
  </si>
  <si>
    <t>Spring for sliding part (1) and balls (3)</t>
  </si>
  <si>
    <t>Balls locking grooves</t>
  </si>
  <si>
    <t>Balls 5mm diameter</t>
  </si>
  <si>
    <t>Assemble of Sliding, Fixed parts and spring</t>
  </si>
  <si>
    <t>Assemble of springs and balls</t>
  </si>
  <si>
    <t>Welding of quick release mount on first column tube (steering column)</t>
  </si>
  <si>
    <t>Retaining Ring, Internal</t>
  </si>
  <si>
    <t>Ring to lock the quick release close</t>
  </si>
  <si>
    <t>Steel for machining the part</t>
  </si>
  <si>
    <t>Cylinder area Radius 12,5mm</t>
  </si>
  <si>
    <t>Material removal</t>
  </si>
  <si>
    <t>Broach for external groove</t>
  </si>
  <si>
    <t>Round Area Radius 35,5mm</t>
  </si>
  <si>
    <t xml:space="preserve">Material removal </t>
  </si>
  <si>
    <t>Broach for internal groove</t>
  </si>
  <si>
    <t>Annodize</t>
  </si>
  <si>
    <t>Free</t>
  </si>
  <si>
    <t>Tie rod painting</t>
  </si>
  <si>
    <t>Rod End for tie rod extremities</t>
  </si>
  <si>
    <t>Welding of inserts on tube</t>
  </si>
  <si>
    <t>Put the nuts on the bolts</t>
  </si>
  <si>
    <t>Wrench &lt;= 6.35 mm</t>
  </si>
  <si>
    <t>Put the nuts on the rod ends</t>
  </si>
  <si>
    <t>Nut to lock bearing</t>
  </si>
  <si>
    <t>Tie Rod Inserts</t>
  </si>
  <si>
    <t>Round area Radius 6mm</t>
  </si>
  <si>
    <t>Reduction for rod assembly</t>
  </si>
  <si>
    <t>Right-hand and left-hand (2 parts each)</t>
  </si>
  <si>
    <t>Surfaces for easy torquing</t>
  </si>
  <si>
    <t>Upright tapered spacer</t>
  </si>
  <si>
    <t>Round area Radius 7mm</t>
  </si>
  <si>
    <t>Rack tapered spacer</t>
  </si>
  <si>
    <t>Rod tube</t>
  </si>
  <si>
    <t>Tube for rod</t>
  </si>
  <si>
    <t>4 parts made from the same machine setup</t>
  </si>
  <si>
    <t>Steering rack assembly</t>
  </si>
  <si>
    <t>Rack pinion</t>
  </si>
  <si>
    <t>Rack housing</t>
  </si>
  <si>
    <t>Lower Rack Mount</t>
  </si>
  <si>
    <t>Upper rack mount</t>
  </si>
  <si>
    <t>Tie rod mount</t>
  </si>
  <si>
    <t>Rack protection</t>
  </si>
  <si>
    <t>Grease Nipple, Straight</t>
  </si>
  <si>
    <t>Nipple to grease the rack</t>
  </si>
  <si>
    <t>Welding of lower mount</t>
  </si>
  <si>
    <t>Assemble the rack in the rack housing</t>
  </si>
  <si>
    <t>Assemble the pinion, the grease nipple and the retaining ring in the rack housing</t>
  </si>
  <si>
    <t>Assemble rack stop on the rack</t>
  </si>
  <si>
    <t>Put the bolts to lock the rack stops</t>
  </si>
  <si>
    <t>Assemble the rack on the lower mounts</t>
  </si>
  <si>
    <t>Assemble the upper mounts</t>
  </si>
  <si>
    <t>Put the bolts onto the mounts</t>
  </si>
  <si>
    <t>Bolts betwen rack mounts</t>
  </si>
  <si>
    <t>ring retaining the pinion</t>
  </si>
  <si>
    <t>lower mounts welding on frame</t>
  </si>
  <si>
    <t>Stock for the rack</t>
  </si>
  <si>
    <t>Round area Radius 10mm</t>
  </si>
  <si>
    <t>Holes for tie rod assembling</t>
  </si>
  <si>
    <t>Teeth machining</t>
  </si>
  <si>
    <t>Stock for the pinion</t>
  </si>
  <si>
    <t>Round area Radius 25mm</t>
  </si>
  <si>
    <t>Machining the form to insert the column</t>
  </si>
  <si>
    <t>Steel</t>
  </si>
  <si>
    <t>Material for the rack houisng</t>
  </si>
  <si>
    <t>Housing Casting</t>
  </si>
  <si>
    <t>Machining making proper surfaces</t>
  </si>
  <si>
    <t>Reamed hole for the rack translation</t>
  </si>
  <si>
    <t>Lower rack mount</t>
  </si>
  <si>
    <t>Stock</t>
  </si>
  <si>
    <t>Rectangular area 60mm x 70mm</t>
  </si>
  <si>
    <t>Holes</t>
  </si>
  <si>
    <t>Rectangular area 68mm x 20mm</t>
  </si>
  <si>
    <t>Steel square tube material</t>
  </si>
  <si>
    <t>Square 2mm thick, 30mm x 30mm</t>
  </si>
  <si>
    <t>Hole for assembly</t>
  </si>
  <si>
    <t>Sheet with 2 mm thickness</t>
  </si>
  <si>
    <t>Rectangular area 300mm x 440mm</t>
  </si>
  <si>
    <t xml:space="preserve">Part drawing : </t>
  </si>
  <si>
    <t>Protects driver from moving parts</t>
  </si>
  <si>
    <t>Grommet for edges</t>
  </si>
  <si>
    <t>Attach elastomer on the edges</t>
  </si>
  <si>
    <t>Bolts for tie rod mounts</t>
  </si>
  <si>
    <t>Tie rod mount bolts</t>
  </si>
  <si>
    <t>Steel A-Arms</t>
  </si>
  <si>
    <t>Simple Bearing support</t>
  </si>
  <si>
    <t>Lower front double bearing support</t>
  </si>
  <si>
    <t>Steel, alloy</t>
  </si>
  <si>
    <t>Lower steel tube 1</t>
  </si>
  <si>
    <t>Round 15mm x 1mm</t>
  </si>
  <si>
    <t>Lower steel tube 2</t>
  </si>
  <si>
    <t>Bearing,spherical</t>
  </si>
  <si>
    <t>Link to uprights</t>
  </si>
  <si>
    <t>Mounts and A-arms painting</t>
  </si>
  <si>
    <t>Glue for bearings in inserts - cost included in process</t>
  </si>
  <si>
    <t>Steel mounts welding</t>
  </si>
  <si>
    <t>Bearing supports welding on simple inserts</t>
  </si>
  <si>
    <t>Tube, cut</t>
  </si>
  <si>
    <t>Steel tubes welding on simple inserts</t>
  </si>
  <si>
    <t>Brush apply</t>
  </si>
  <si>
    <t xml:space="preserve">Glue applying on bearing supports bores </t>
  </si>
  <si>
    <t>Assemble, 1kg, Interference</t>
  </si>
  <si>
    <t>Bearings in supports bores installation</t>
  </si>
  <si>
    <t>A-arms painting</t>
  </si>
  <si>
    <t>A arms positioning on steel mounts</t>
  </si>
  <si>
    <t>Spacers installation</t>
  </si>
  <si>
    <t>Ratchet &lt;=25,4mm</t>
  </si>
  <si>
    <t>Reaction tool &lt;=25,4mm</t>
  </si>
  <si>
    <t>M8 nuts blocking</t>
  </si>
  <si>
    <t>A arms fixing bolts</t>
  </si>
  <si>
    <t>A arms fixing nuts</t>
  </si>
  <si>
    <t>A arms fixing washers</t>
  </si>
  <si>
    <t>Welding processes</t>
  </si>
  <si>
    <t>The two left and two right mounts are symetrical and have therefore the same manufacturing procedure</t>
  </si>
  <si>
    <t>Rectangular       30 mmx 41 mm</t>
  </si>
  <si>
    <t>A-arm fixing hole drilling</t>
  </si>
  <si>
    <t>Hole length &gt;4D</t>
  </si>
  <si>
    <t>Angle machining</t>
  </si>
  <si>
    <t>Round                      17 mm Diameter</t>
  </si>
  <si>
    <t>Groove machining</t>
  </si>
  <si>
    <t>Rectangular        41mm x 32 mm</t>
  </si>
  <si>
    <t>Rectangular 47mmx42mm</t>
  </si>
  <si>
    <t xml:space="preserve">Cylindrical            diameter 18 mm </t>
  </si>
  <si>
    <t>Upper front double bearing support</t>
  </si>
  <si>
    <t>Upper steel tube 1</t>
  </si>
  <si>
    <t>Upper steel tube 2</t>
  </si>
  <si>
    <t>Steel tubes welding on double inserts</t>
  </si>
  <si>
    <t xml:space="preserve">Glue applying on inserts bores </t>
  </si>
  <si>
    <t>Bearings in vearing supports bores installation</t>
  </si>
  <si>
    <t>Ratchet &lt;=6,35mm</t>
  </si>
  <si>
    <t>M3 headless bolts installation</t>
  </si>
  <si>
    <t>M4 headless bolts installation</t>
  </si>
  <si>
    <t>Security headless bolts for double inserts</t>
  </si>
  <si>
    <t>Security headless bolts for simple inserts</t>
  </si>
  <si>
    <t>Rectangular       30 mmx 46 mm</t>
  </si>
  <si>
    <t>Bearing bore machining</t>
  </si>
  <si>
    <t>Rectangular 68mmx69mm</t>
  </si>
  <si>
    <t>First tube hole machining</t>
  </si>
  <si>
    <t>Second tube hole machining</t>
  </si>
  <si>
    <t>Main hole machining</t>
  </si>
  <si>
    <t>Suspension rod support machining</t>
  </si>
  <si>
    <t>Suspension rod support hole drilling</t>
  </si>
  <si>
    <t>Hole Length &gt;4D</t>
  </si>
  <si>
    <t>M3 holes drilling</t>
  </si>
  <si>
    <t>Lower Rear A arm Front mounts</t>
  </si>
  <si>
    <t>Lower Rear A arm Rear mounts</t>
  </si>
  <si>
    <t>Lower rear double insert</t>
  </si>
  <si>
    <t>Bearings in inserts bores installation</t>
  </si>
  <si>
    <t>Rectangular       33 mmx 36 mm</t>
  </si>
  <si>
    <t>First tube cavity</t>
  </si>
  <si>
    <t>Second tube cavity</t>
  </si>
  <si>
    <t>Rectangular 63mmx62mm</t>
  </si>
  <si>
    <t>bottom side machining</t>
  </si>
  <si>
    <t>Upper Rear A arm  Front mounts</t>
  </si>
  <si>
    <t>Upper Rear A arm  Rear mounts</t>
  </si>
  <si>
    <t>Upper rear double insert</t>
  </si>
  <si>
    <t>Pullrod insert 1</t>
  </si>
  <si>
    <t>Pullrod insert 2</t>
  </si>
  <si>
    <t>Link to frame and uprights</t>
  </si>
  <si>
    <t>Pullrods installation on mounts</t>
  </si>
  <si>
    <t>Bearing supports welding on simple inserts or pullrod inserts</t>
  </si>
  <si>
    <t>Upper steel tubes 1 and 2</t>
  </si>
  <si>
    <t>Upper steel tube 3 (pullrod)</t>
  </si>
  <si>
    <t>Steel tubes welding on simple inserts or pullrod inserts</t>
  </si>
  <si>
    <t>M8 nuts positioning on pullrods</t>
  </si>
  <si>
    <t>M8 nuts welding on pullrods</t>
  </si>
  <si>
    <t>M8 nuts installation on rod bearings</t>
  </si>
  <si>
    <t>Rod bearings positioning on pullrods</t>
  </si>
  <si>
    <t>Rod bearings installation on pullrods</t>
  </si>
  <si>
    <t>Pullrod positioning on steel mounts</t>
  </si>
  <si>
    <t>Pullrods  rod bearing nuts</t>
  </si>
  <si>
    <t>Rectangular       32 mmx 39 mm</t>
  </si>
  <si>
    <t>Tube cavities machining</t>
  </si>
  <si>
    <t>Rectangular       40 mmx 52 mm</t>
  </si>
  <si>
    <t>Tube cavity machining</t>
  </si>
  <si>
    <t>Upper front double insert</t>
  </si>
  <si>
    <t>Hole length &gt;2D</t>
  </si>
  <si>
    <t>Stock material for tie-rod left-hand thread insert</t>
  </si>
  <si>
    <t>Round area radius 7mm</t>
  </si>
  <si>
    <t>Setup for tie-rod left-hand thread insert machining and removal</t>
  </si>
  <si>
    <t>Left-hand thread</t>
  </si>
  <si>
    <t>SU 04008</t>
  </si>
  <si>
    <t xml:space="preserve">Front suspension </t>
  </si>
  <si>
    <t>Assembly of the Front suspension</t>
  </si>
  <si>
    <t xml:space="preserve">Dampers </t>
  </si>
  <si>
    <t>Front suspension mount</t>
  </si>
  <si>
    <t>Front suspension mount red paint</t>
  </si>
  <si>
    <t>Welding the suspension mounts on the frame</t>
  </si>
  <si>
    <t>Painting of suspension mount in red</t>
  </si>
  <si>
    <t>Attaching springs to dampers</t>
  </si>
  <si>
    <t>Put the damper in place</t>
  </si>
  <si>
    <t>Bolt damper to suspension mount</t>
  </si>
  <si>
    <t>Tigthen the M8 nuts</t>
  </si>
  <si>
    <t>Bolt damper to rocker</t>
  </si>
  <si>
    <t xml:space="preserve">Welds-welding Fixture </t>
  </si>
  <si>
    <t>Welding of the mounts the frame</t>
  </si>
  <si>
    <t>Damper, Ohlins TTX 25</t>
  </si>
  <si>
    <t>Suspension Springs, Coil Spring, Steel</t>
  </si>
  <si>
    <t>Spring for the dampers</t>
  </si>
  <si>
    <t>Suspension mount</t>
  </si>
  <si>
    <t>Sheet metal for the suspension mount</t>
  </si>
  <si>
    <t>Rectangular area 42mm x 45mm</t>
  </si>
  <si>
    <t>Repeat 2 and Material Steel</t>
  </si>
  <si>
    <t xml:space="preserve">Front rocker </t>
  </si>
  <si>
    <t>Assembly of the Front rocker</t>
  </si>
  <si>
    <t>Sheets metal of the Rocker</t>
  </si>
  <si>
    <t>Rocker mount</t>
  </si>
  <si>
    <t>Welding of the rocker mounts on the frame</t>
  </si>
  <si>
    <t>Painting of the rocker mount in red</t>
  </si>
  <si>
    <t>Welding of the cylinder on the two sheets metal of the rocker</t>
  </si>
  <si>
    <t>Varnishing of the rocker and the cylinders</t>
  </si>
  <si>
    <t>Insert 2 bronze bushings into the rocker</t>
  </si>
  <si>
    <t>Put the rocker in place</t>
  </si>
  <si>
    <t>Bolt rocker to rocker mount</t>
  </si>
  <si>
    <t>Thigten the M8 nuts</t>
  </si>
  <si>
    <t>Hexagon socket headless screw</t>
  </si>
  <si>
    <t xml:space="preserve">Welding of the cylinder on the steel sheet </t>
  </si>
  <si>
    <t>Front rocker</t>
  </si>
  <si>
    <t>Material for the rocker</t>
  </si>
  <si>
    <t>Rectangular area 162mm x 36,23 mm</t>
  </si>
  <si>
    <t>Install and remove parts from laser machine</t>
  </si>
  <si>
    <t>Cylinder to assure the pivot linkage</t>
  </si>
  <si>
    <t>Stock material for cylinder</t>
  </si>
  <si>
    <t>Round Area radius 11mm</t>
  </si>
  <si>
    <t>Install and remove parts</t>
  </si>
  <si>
    <t>Material steel</t>
  </si>
  <si>
    <t>Hole for the pivot</t>
  </si>
  <si>
    <t>Round area, radius 5mm</t>
  </si>
  <si>
    <t>Setup machining (turning) and removal</t>
  </si>
  <si>
    <t xml:space="preserve">Material Bronze </t>
  </si>
  <si>
    <t>Material for the rocker mount</t>
  </si>
  <si>
    <t>Rectangular area 44mm x 67mm</t>
  </si>
  <si>
    <t>Cut out the outline</t>
  </si>
  <si>
    <t xml:space="preserve">Front tie-rod </t>
  </si>
  <si>
    <t>Assembly of the Front tie-od which actuates the suspensions</t>
  </si>
  <si>
    <t>Tie rod right hand insert</t>
  </si>
  <si>
    <t>Tie rod left hand insert</t>
  </si>
  <si>
    <t>Right-hand rod End for tie-rod extremities</t>
  </si>
  <si>
    <t>Left-hand rod End for tie-rod extremities</t>
  </si>
  <si>
    <t>Painting of tie-rod in red</t>
  </si>
  <si>
    <t>Tighten the M8 nut to lock the rod end in the insert</t>
  </si>
  <si>
    <t>Put the tie-rod in place</t>
  </si>
  <si>
    <t>Bolt tie-rod to upper front double insert</t>
  </si>
  <si>
    <t>Put the tie rod in place</t>
  </si>
  <si>
    <t>Bolt tie rod to rocker</t>
  </si>
  <si>
    <t>right-hand thread</t>
  </si>
  <si>
    <t>Front tie-rod</t>
  </si>
  <si>
    <t>Tube for tie-rod</t>
  </si>
  <si>
    <t>Tie rod right-hand insert</t>
  </si>
  <si>
    <t>Insert to attach the rod end on the tie-rod</t>
  </si>
  <si>
    <t>Stock material for tie-rod right-hand thread insert</t>
  </si>
  <si>
    <t>Setup for tie-rod right-hand thread insert machining and removal</t>
  </si>
  <si>
    <t>Right-hand thread</t>
  </si>
  <si>
    <t>Tie rod left-hand  insert</t>
  </si>
  <si>
    <t>Rear suspension</t>
  </si>
  <si>
    <t>Assembly of the rear suspension</t>
  </si>
  <si>
    <t>Rear suspenson mount</t>
  </si>
  <si>
    <t>Dampers spacer</t>
  </si>
  <si>
    <t>Rear suspension mount paint</t>
  </si>
  <si>
    <t xml:space="preserve">welds-welding Fixture </t>
  </si>
  <si>
    <t>welding of the mounts the frame</t>
  </si>
  <si>
    <t xml:space="preserve">Rear suspension </t>
  </si>
  <si>
    <t>Stock material for the suspension mount</t>
  </si>
  <si>
    <t>Rectangular area 41,1mm x 29,99mm</t>
  </si>
  <si>
    <t>SU 08004</t>
  </si>
  <si>
    <t>Assembly of the rear rocker</t>
  </si>
  <si>
    <t xml:space="preserve">Varnishing of the rocker </t>
  </si>
  <si>
    <t xml:space="preserve">Rear rocker </t>
  </si>
  <si>
    <t>Sheets metal of the rocker</t>
  </si>
  <si>
    <t>Sheet metal for the rocker</t>
  </si>
  <si>
    <t>Rectangular area 108mm x 52mm</t>
  </si>
  <si>
    <t>laser cut</t>
  </si>
  <si>
    <t>Rear rocker</t>
  </si>
  <si>
    <t>Cylinder for pivot linkage</t>
  </si>
  <si>
    <t>4 parts made from a single machine setup</t>
  </si>
  <si>
    <t>Stock material for the rocker mount</t>
  </si>
  <si>
    <t>Rectangular area 32mm x 58,7mm</t>
  </si>
  <si>
    <t>Hole for material removal</t>
  </si>
  <si>
    <t xml:space="preserve">Rear tie-rod </t>
  </si>
  <si>
    <t>Rear tie-rod</t>
  </si>
  <si>
    <t>Camber adjustment shims</t>
  </si>
  <si>
    <t>Uprights Lower reinforcements</t>
  </si>
  <si>
    <t>Assemble with front hub</t>
  </si>
  <si>
    <t xml:space="preserve">Steering tab assemble </t>
  </si>
  <si>
    <t>Ratchet &lt;= 6.25 mm</t>
  </si>
  <si>
    <t>Bolt steering tab and upright</t>
  </si>
  <si>
    <t>Camber adjustment shims assemble</t>
  </si>
  <si>
    <t>Upper Tab assemble</t>
  </si>
  <si>
    <t>Bolt upper tab and upright</t>
  </si>
  <si>
    <t>Ratchet &lt;= 6,25 mm</t>
  </si>
  <si>
    <t>Bolts upright reinforcement</t>
  </si>
  <si>
    <t>nuts upright reinforcement</t>
  </si>
  <si>
    <t>Upper and Lower spacers assemble</t>
  </si>
  <si>
    <t>Assembe with the frame</t>
  </si>
  <si>
    <t>Bolt upright with Front A arms</t>
  </si>
  <si>
    <t>Upper tab fixing bolts</t>
  </si>
  <si>
    <t>Steering tab fixing bolts</t>
  </si>
  <si>
    <t>Upright and  A arms fixing bolts</t>
  </si>
  <si>
    <t>Upper tab and steering tab nuts</t>
  </si>
  <si>
    <t>Upright and A arms nuts</t>
  </si>
  <si>
    <t xml:space="preserve">Reinforcements bolts </t>
  </si>
  <si>
    <t>Upper tab and steering tab washers</t>
  </si>
  <si>
    <t>Upright and A arms washers</t>
  </si>
  <si>
    <t>Aluminum, Premium (per kg)</t>
  </si>
  <si>
    <t>Rectangular area 265 x 145 mm</t>
  </si>
  <si>
    <t xml:space="preserve">Stock removal </t>
  </si>
  <si>
    <t>Reinforcements bolts threading</t>
  </si>
  <si>
    <t>Steering tab</t>
  </si>
  <si>
    <t>Rectangular 73mm x 26 mm</t>
  </si>
  <si>
    <t>Upper tab</t>
  </si>
  <si>
    <t>Rectangular area 40 x 44 mm</t>
  </si>
  <si>
    <t>Stock removal</t>
  </si>
  <si>
    <t>Material removal - lateral side</t>
  </si>
  <si>
    <t>Rectangular area 42 x 42 mm</t>
  </si>
  <si>
    <t>Front Upright</t>
  </si>
  <si>
    <t xml:space="preserve">Cylindrical            diameter 16 mm </t>
  </si>
  <si>
    <t>Uprights lower reinforcements</t>
  </si>
  <si>
    <t>Rectangular 42 mm x 50 mm</t>
  </si>
  <si>
    <t>SU 11007</t>
  </si>
  <si>
    <t>Uprights upper reinforcements</t>
  </si>
  <si>
    <t>Reinforcements assemble</t>
  </si>
  <si>
    <t>Bolts uprights and reinforcements</t>
  </si>
  <si>
    <t>Reaction Tool &lt;=  6.35mm</t>
  </si>
  <si>
    <t>Nuts upright with Rear A arms</t>
  </si>
  <si>
    <t>Bolt upright with Rear A arms</t>
  </si>
  <si>
    <t>Nut upright with Rear A arms</t>
  </si>
  <si>
    <t>Lower reinforcements bolts</t>
  </si>
  <si>
    <t>Upper reinforcements bolts</t>
  </si>
  <si>
    <t>Upper reinforcements nuts</t>
  </si>
  <si>
    <t>Washer, Grade 8.8 (SAE5)</t>
  </si>
  <si>
    <t>Reinforcements and upper tab washers</t>
  </si>
  <si>
    <t>Rectangular area 252 x 177 mm</t>
  </si>
  <si>
    <t>Lower reinforcements bolts threading</t>
  </si>
  <si>
    <t>4 parts cut with a single machine setup</t>
  </si>
  <si>
    <t>Rectangular   72mm vs 68 mm</t>
  </si>
  <si>
    <t>2 parts cut with a single machine setup</t>
  </si>
  <si>
    <t>Sheet metalbend</t>
  </si>
  <si>
    <t>SU 12006</t>
  </si>
  <si>
    <t>4 parts made with a single machine setup</t>
  </si>
  <si>
    <t>SU 12007</t>
  </si>
  <si>
    <t>Wheels and Tires</t>
  </si>
  <si>
    <t xml:space="preserve">Wheel Assembly </t>
  </si>
  <si>
    <t>Complete wheel assembly</t>
  </si>
  <si>
    <t>Valve stem</t>
  </si>
  <si>
    <t>Wheel Weights (and Balancing)</t>
  </si>
  <si>
    <t>Assemble, 5kg, loose</t>
  </si>
  <si>
    <t>Fix Wheels on Hub</t>
  </si>
  <si>
    <t>Ratchet &lt;=25.4mm</t>
  </si>
  <si>
    <t>Tighten Lug Nuts</t>
  </si>
  <si>
    <t>labor</t>
  </si>
  <si>
    <t>Nut, Lug</t>
  </si>
  <si>
    <t>Lug Nuts</t>
  </si>
  <si>
    <t>Wheel</t>
  </si>
  <si>
    <t>Oz racing 13x7' aluminium</t>
  </si>
  <si>
    <t>Wheel, 13", 1 Piece OEM, Aluminum</t>
  </si>
  <si>
    <t>Tire</t>
  </si>
  <si>
    <t>Hoosier, R25B, 13"-20.5 x 7.0</t>
  </si>
  <si>
    <t>Purchased Valve Stem</t>
  </si>
  <si>
    <t>Valve stem (and inflation tire)</t>
  </si>
  <si>
    <t>Car wheel speed target</t>
  </si>
  <si>
    <t>Locknut/L.P.///Steel/</t>
  </si>
  <si>
    <t>Bearing Nuts</t>
  </si>
  <si>
    <t>Wheel studs and hub assemble</t>
  </si>
  <si>
    <t>Bearings assemble</t>
  </si>
  <si>
    <t>Wrench &gt; 25.4 mm</t>
  </si>
  <si>
    <t>Bearing nuts</t>
  </si>
  <si>
    <t>Stud, Grade 12.9</t>
  </si>
  <si>
    <t>Wheel studs</t>
  </si>
  <si>
    <t>Wheels and tires</t>
  </si>
  <si>
    <t>Front hub</t>
  </si>
  <si>
    <t>Round 140 mm diameter</t>
  </si>
  <si>
    <t>Turning</t>
  </si>
  <si>
    <t>Milling</t>
  </si>
  <si>
    <t>FAG Bearings</t>
  </si>
  <si>
    <t>Wheel Bearing, Ball, Angular Contact</t>
  </si>
  <si>
    <t>Wheel Bearings</t>
  </si>
  <si>
    <t>WT 02003</t>
  </si>
  <si>
    <t>Square  137 mm x 137mm</t>
  </si>
  <si>
    <t>Cut out shape</t>
  </si>
  <si>
    <t>Rear hub</t>
  </si>
  <si>
    <t>Tie Rod</t>
  </si>
  <si>
    <t>FR A0008</t>
  </si>
  <si>
    <t>8 parts made from a single machine setup</t>
  </si>
  <si>
    <t>12 parts made with a single machine setup</t>
  </si>
  <si>
    <t>cutout and holes</t>
  </si>
  <si>
    <t>repeat 3</t>
  </si>
  <si>
    <t>Set up laser machine</t>
  </si>
  <si>
    <t>Reemed hole</t>
  </si>
  <si>
    <t>Hole for bearing insertion</t>
  </si>
  <si>
    <t>Setup and removal for machining</t>
  </si>
  <si>
    <t>6 parts made from a single machine setup</t>
  </si>
  <si>
    <t>FS</t>
  </si>
  <si>
    <t>Car # 081</t>
  </si>
  <si>
    <t>12 parts made from a single machine setup</t>
  </si>
  <si>
    <t>2 parts made with a single machine setup</t>
  </si>
  <si>
    <t>Power Tool &lt;= 25.4 mm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</si>
</sst>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4">
    <numFmt numFmtId="5" formatCode="&quot;$&quot;#,##0;\-&quot;$&quot;#,##0"/>
    <numFmt numFmtId="6" formatCode="&quot;$&quot;#,##0;[Red]\-&quot;$&quot;#,##0"/>
    <numFmt numFmtId="44" formatCode="_-&quot;$&quot;* #,##0.00_-;\-&quot;$&quot;* #,##0.00_-;_-&quot;$&quot;* &quot;-&quot;??_-;_-@_-"/>
    <numFmt numFmtId="43" formatCode="_-* #,##0.00_-;\-* #,##0.00_-;_-* &quot;-&quot;??_-;_-@_-"/>
    <numFmt numFmtId="164" formatCode="_(&quot;$&quot;* #,##0.00_);_(&quot;$&quot;* \(#,##0.00\);_(&quot;$&quot;* &quot;-&quot;??_);_(@_)"/>
    <numFmt numFmtId="165" formatCode="_(* #,##0.00_);_(* \(#,##0.00\);_(* &quot;-&quot;??_);_(@_)"/>
    <numFmt numFmtId="166" formatCode="00000"/>
    <numFmt numFmtId="167" formatCode="_(&quot;$&quot;* #,##0.0000_);_(&quot;$&quot;* \(#,##0.0000\);_(&quot;$&quot;* &quot;-&quot;??_);_(@_)"/>
    <numFmt numFmtId="168" formatCode="_-* #,##0.00\ &quot;€&quot;_-;\-* #,##0.00\ &quot;€&quot;_-;_-* &quot;-&quot;??\ &quot;€&quot;_-;_-@_-"/>
    <numFmt numFmtId="169" formatCode="_-[$$-409]* #,##0.00_ ;_-[$$-409]* \-#,##0.00\ ;_-[$$-409]* &quot;-&quot;??_ ;_-@_ "/>
    <numFmt numFmtId="170" formatCode="_(* #,##0.000_);_(* \(#,##0.000\);_(* &quot;-&quot;??_);_(@_)"/>
    <numFmt numFmtId="171" formatCode="_(* #,##0_);_(* \(#,##0\);_(* &quot;-&quot;??_);_(@_)"/>
    <numFmt numFmtId="172" formatCode="0.0"/>
    <numFmt numFmtId="173" formatCode="&quot;$&quot;#,##0.00"/>
    <numFmt numFmtId="174" formatCode="#,##0.000"/>
    <numFmt numFmtId="175" formatCode="_-* #,##0.00\ _€_-;\-* #,##0.00\ _€_-;_-* &quot;-&quot;??\ _€_-;_-@_-"/>
    <numFmt numFmtId="176" formatCode="_(&quot;$&quot;* #,##0.000_);_(&quot;$&quot;* \(#,##0.000\);_(&quot;$&quot;* &quot;-&quot;??_);_(@_)"/>
    <numFmt numFmtId="177" formatCode="_(* #,##0.00000_);_(* \(#,##0.00000\);_(* &quot;-&quot;??_);_(@_)"/>
    <numFmt numFmtId="178" formatCode="#,##0.00\ &quot;€&quot;;[Red]\-#,##0.00\ &quot;€&quot;"/>
    <numFmt numFmtId="179" formatCode="_(* #,##0.0_);_(* \(#,##0.0\);_(* &quot;-&quot;??_);_(@_)"/>
    <numFmt numFmtId="180" formatCode="_(&quot;$&quot;* #,##0_);_(&quot;$&quot;* \(#,##0\);_(&quot;$&quot;* &quot;-&quot;??_);_(@_)"/>
    <numFmt numFmtId="181" formatCode="0.0000"/>
    <numFmt numFmtId="182" formatCode="_(* #,##0.0000_);_(* \(#,##0.0000\);_(* &quot;-&quot;??_);_(@_)"/>
    <numFmt numFmtId="183" formatCode="0.000E+00"/>
    <numFmt numFmtId="184" formatCode="0.000"/>
    <numFmt numFmtId="185" formatCode="_-* #,##0.0000\ _€_-;\-* #,##0.0000\ _€_-;_-* &quot;-&quot;????\ _€_-;_-@_-"/>
    <numFmt numFmtId="186" formatCode="_-* #,##0.000\ _€_-;\-* #,##0.000\ _€_-;_-* &quot;-&quot;??\ _€_-;_-@_-"/>
    <numFmt numFmtId="187" formatCode="0.0E+00"/>
    <numFmt numFmtId="188" formatCode="_(* #,##0.000000_);_(* \(#,##0.000000\);_(* &quot;-&quot;??_);_(@_)"/>
    <numFmt numFmtId="189" formatCode="#,##0.00\ &quot;€&quot;_);\(#,##0.00\ &quot;€&quot;\)"/>
    <numFmt numFmtId="190" formatCode="#,##0.00000"/>
    <numFmt numFmtId="191" formatCode="#,##0.00\ &quot;€&quot;;\-#,##0.00\ &quot;€&quot;"/>
    <numFmt numFmtId="192" formatCode="&quot;$&quot;#,##0.00_);\(&quot;$&quot;#,##0.00\)"/>
    <numFmt numFmtId="193" formatCode="_-* #,##0.000000\ _€_-;\-* #,##0.000000\ _€_-;_-* &quot;-&quot;??\ _€_-;_-@_-"/>
  </numFmts>
  <fonts count="36" x14ac:knownFonts="1">
    <font>
      <sz val="11"/>
      <color theme="1"/>
      <name val="Calibri"/>
      <family val="2"/>
      <scheme val="minor"/>
    </font>
    <font>
      <sz val="10"/>
      <name val="Arial"/>
      <family val="2"/>
    </font>
    <font>
      <b/>
      <i/>
      <sz val="16"/>
      <name val="Arial"/>
      <family val="2"/>
    </font>
    <font>
      <b/>
      <sz val="10"/>
      <name val="Arial"/>
      <family val="2"/>
    </font>
    <font>
      <sz val="9"/>
      <name val="Arial"/>
      <family val="2"/>
    </font>
    <font>
      <sz val="11"/>
      <color indexed="8"/>
      <name val="Calibri"/>
      <family val="2"/>
    </font>
    <font>
      <sz val="10"/>
      <color indexed="9"/>
      <name val="Arial"/>
      <family val="2"/>
    </font>
    <font>
      <b/>
      <sz val="11"/>
      <name val="Arial"/>
      <family val="2"/>
    </font>
    <font>
      <sz val="11"/>
      <name val="Arial"/>
      <family val="2"/>
    </font>
    <font>
      <b/>
      <sz val="11"/>
      <color indexed="9"/>
      <name val="Arial"/>
      <family val="2"/>
    </font>
    <font>
      <sz val="11"/>
      <color indexed="9"/>
      <name val="Arial"/>
      <family val="2"/>
    </font>
    <font>
      <b/>
      <sz val="11"/>
      <color indexed="9"/>
      <name val="Calibri"/>
      <family val="2"/>
    </font>
    <font>
      <b/>
      <i/>
      <sz val="10"/>
      <name val="Arial"/>
      <family val="2"/>
    </font>
    <font>
      <sz val="7"/>
      <name val="Arial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MS Sans Serif"/>
      <family val="2"/>
    </font>
    <font>
      <sz val="10"/>
      <color indexed="8"/>
      <name val="Arial"/>
      <family val="2"/>
    </font>
    <font>
      <sz val="11"/>
      <color indexed="17"/>
      <name val="Calibri"/>
      <family val="2"/>
    </font>
    <font>
      <sz val="10"/>
      <name val="Verdana"/>
      <family val="2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u/>
      <sz val="11"/>
      <color theme="1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0"/>
      <name val="Arial"/>
      <family val="2"/>
    </font>
    <font>
      <sz val="1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rgb="FFFF0000"/>
      <name val="Calibri"/>
      <family val="2"/>
    </font>
    <font>
      <b/>
      <sz val="11"/>
      <color rgb="FFFF0000"/>
      <name val="Calibri"/>
      <family val="2"/>
    </font>
    <font>
      <sz val="11"/>
      <color rgb="FF000000"/>
      <name val="Calibri"/>
      <family val="2"/>
      <scheme val="minor"/>
    </font>
    <font>
      <b/>
      <sz val="11"/>
      <name val="Calibri"/>
      <family val="2"/>
      <scheme val="minor"/>
    </font>
    <font>
      <sz val="11"/>
      <color theme="1"/>
      <name val="Segoe Print"/>
    </font>
  </fonts>
  <fills count="44">
    <fill>
      <patternFill patternType="none"/>
    </fill>
    <fill>
      <patternFill patternType="gray125"/>
    </fill>
    <fill>
      <patternFill patternType="solid">
        <fgColor indexed="42"/>
      </patternFill>
    </fill>
    <fill>
      <patternFill patternType="solid">
        <fgColor indexed="44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62"/>
        <bgColor indexed="62"/>
      </patternFill>
    </fill>
    <fill>
      <patternFill patternType="solid">
        <fgColor indexed="44"/>
        <bgColor indexed="4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A5A5A5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C2D69A"/>
        <bgColor indexed="64"/>
      </patternFill>
    </fill>
    <fill>
      <patternFill patternType="solid">
        <fgColor rgb="FFFF69B4"/>
        <bgColor indexed="64"/>
      </patternFill>
    </fill>
    <fill>
      <patternFill patternType="solid">
        <fgColor rgb="FFFF99CC"/>
        <bgColor indexed="64"/>
      </patternFill>
    </fill>
    <fill>
      <patternFill patternType="solid">
        <fgColor rgb="FFFFB87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95B3D7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E26B0A"/>
        <bgColor indexed="64"/>
      </patternFill>
    </fill>
    <fill>
      <patternFill patternType="solid">
        <fgColor rgb="FFFF9900"/>
        <bgColor indexed="64"/>
      </patternFill>
    </fill>
    <fill>
      <patternFill patternType="solid">
        <fgColor rgb="FFD6D1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B7DEE8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8DB4E3"/>
        <bgColor indexed="64"/>
      </patternFill>
    </fill>
    <fill>
      <patternFill patternType="solid">
        <fgColor rgb="FF99CCFF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9900"/>
        <bgColor rgb="FF000000"/>
      </patternFill>
    </fill>
    <fill>
      <patternFill patternType="solid">
        <fgColor theme="9" tint="0.59999389629810485"/>
        <bgColor indexed="64"/>
      </patternFill>
    </fill>
  </fills>
  <borders count="38">
    <border>
      <left/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/>
      <right style="thin">
        <color indexed="9"/>
      </right>
      <top/>
      <bottom style="thick">
        <color indexed="9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indexed="9"/>
      </bottom>
      <diagonal/>
    </border>
    <border>
      <left/>
      <right/>
      <top style="thin">
        <color indexed="9"/>
      </top>
      <bottom style="thin">
        <color indexed="9"/>
      </bottom>
      <diagonal/>
    </border>
    <border>
      <left/>
      <right/>
      <top style="thin">
        <color indexed="9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22"/>
      </left>
      <right/>
      <top style="thin">
        <color indexed="22"/>
      </top>
      <bottom style="thin">
        <color indexed="2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thin">
        <color indexed="22"/>
      </left>
      <right style="thin">
        <color indexed="22"/>
      </right>
      <top/>
      <bottom/>
      <diagonal/>
    </border>
    <border>
      <left style="thin">
        <color indexed="22"/>
      </left>
      <right style="thin">
        <color indexed="22"/>
      </right>
      <top/>
      <bottom style="thin">
        <color indexed="22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22"/>
      </top>
      <bottom style="thin">
        <color indexed="22"/>
      </bottom>
      <diagonal/>
    </border>
    <border>
      <left style="thin">
        <color indexed="22"/>
      </left>
      <right style="thin">
        <color indexed="22"/>
      </right>
      <top style="thin">
        <color indexed="64"/>
      </top>
      <bottom style="thin">
        <color indexed="64"/>
      </bottom>
      <diagonal/>
    </border>
    <border>
      <left style="thin">
        <color indexed="22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D0D7E5"/>
      </left>
      <right style="thin">
        <color rgb="FFD0D7E5"/>
      </right>
      <top/>
      <bottom style="thin">
        <color rgb="FFD0D7E5"/>
      </bottom>
      <diagonal/>
    </border>
    <border>
      <left style="thin">
        <color rgb="FFD0D7E5"/>
      </left>
      <right style="thin">
        <color rgb="FFD0D7E5"/>
      </right>
      <top style="thin">
        <color indexed="64"/>
      </top>
      <bottom style="thin">
        <color indexed="64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 style="thin">
        <color rgb="FFD0D7E5"/>
      </left>
      <right style="thin">
        <color rgb="FFD0D7E5"/>
      </right>
      <top/>
      <bottom/>
      <diagonal/>
    </border>
  </borders>
  <cellStyleXfs count="80">
    <xf numFmtId="0" fontId="0" fillId="0" borderId="0"/>
    <xf numFmtId="165" fontId="1" fillId="0" borderId="0" applyFont="0" applyFill="0" applyBorder="0" applyAlignment="0" applyProtection="0"/>
    <xf numFmtId="165" fontId="5" fillId="0" borderId="0" applyFont="0" applyFill="0" applyBorder="0" applyAlignment="0" applyProtection="0"/>
    <xf numFmtId="164" fontId="21" fillId="15" borderId="31">
      <alignment vertical="center" wrapText="1"/>
    </xf>
    <xf numFmtId="164" fontId="22" fillId="16" borderId="1">
      <alignment vertical="center" wrapText="1"/>
    </xf>
    <xf numFmtId="164" fontId="23" fillId="17" borderId="1">
      <alignment vertical="center" wrapText="1"/>
    </xf>
    <xf numFmtId="164" fontId="24" fillId="18" borderId="1">
      <alignment vertical="center" wrapText="1"/>
    </xf>
    <xf numFmtId="168" fontId="24" fillId="18" borderId="1">
      <alignment vertical="center" wrapText="1"/>
    </xf>
    <xf numFmtId="164" fontId="1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20" fillId="0" borderId="0" applyFont="0" applyFill="0" applyBorder="0" applyAlignment="0" applyProtection="0"/>
    <xf numFmtId="0" fontId="18" fillId="2" borderId="0" applyNumberFormat="0" applyBorder="0" applyAlignment="0" applyProtection="0"/>
    <xf numFmtId="0" fontId="25" fillId="0" borderId="0" applyNumberFormat="0" applyFill="0" applyBorder="0" applyAlignment="0" applyProtection="0">
      <alignment vertical="top"/>
      <protection locked="0"/>
    </xf>
    <xf numFmtId="165" fontId="5" fillId="0" borderId="0" applyFont="0" applyFill="0" applyBorder="0" applyAlignment="0" applyProtection="0"/>
    <xf numFmtId="6" fontId="5" fillId="0" borderId="0" applyFont="0" applyFill="0" applyBorder="0" applyAlignment="0" applyProtection="0"/>
    <xf numFmtId="165" fontId="5" fillId="0" borderId="0" applyFont="0" applyFill="0" applyBorder="0" applyAlignment="0" applyProtection="0"/>
    <xf numFmtId="165" fontId="16" fillId="0" borderId="0" applyFont="0" applyFill="0" applyBorder="0" applyAlignment="0" applyProtection="0"/>
    <xf numFmtId="175" fontId="20" fillId="0" borderId="0" applyFont="0" applyFill="0" applyBorder="0" applyAlignment="0" applyProtection="0"/>
    <xf numFmtId="165" fontId="5" fillId="0" borderId="0" applyFont="0" applyFill="0" applyBorder="0" applyAlignment="0" applyProtection="0"/>
    <xf numFmtId="44" fontId="20" fillId="0" borderId="0" applyFont="0" applyFill="0" applyBorder="0" applyAlignment="0" applyProtection="0"/>
    <xf numFmtId="164" fontId="5" fillId="0" borderId="0" applyFont="0" applyFill="0" applyBorder="0" applyAlignment="0" applyProtection="0"/>
    <xf numFmtId="5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20" fillId="0" borderId="0" applyFont="0" applyFill="0" applyBorder="0" applyAlignment="0" applyProtection="0"/>
    <xf numFmtId="191" fontId="5" fillId="0" borderId="0" applyFont="0" applyFill="0" applyBorder="0" applyAlignment="0" applyProtection="0"/>
    <xf numFmtId="5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168" fontId="20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1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16" fillId="0" borderId="0" applyFont="0" applyFill="0" applyBorder="0" applyAlignment="0" applyProtection="0"/>
    <xf numFmtId="164" fontId="16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16" fillId="0" borderId="0" applyFont="0" applyFill="0" applyBorder="0" applyAlignment="0" applyProtection="0"/>
    <xf numFmtId="164" fontId="20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20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0" fontId="24" fillId="18" borderId="0" applyNumberFormat="0" applyBorder="0" applyAlignment="0" applyProtection="0"/>
    <xf numFmtId="0" fontId="1" fillId="0" borderId="0"/>
    <xf numFmtId="0" fontId="19" fillId="0" borderId="0"/>
    <xf numFmtId="0" fontId="1" fillId="0" borderId="0"/>
    <xf numFmtId="0" fontId="19" fillId="0" borderId="0"/>
    <xf numFmtId="0" fontId="1" fillId="0" borderId="0"/>
    <xf numFmtId="0" fontId="1" fillId="0" borderId="0"/>
    <xf numFmtId="0" fontId="1" fillId="0" borderId="0"/>
    <xf numFmtId="0" fontId="20" fillId="0" borderId="0"/>
    <xf numFmtId="0" fontId="19" fillId="0" borderId="0"/>
    <xf numFmtId="0" fontId="19" fillId="0" borderId="0"/>
    <xf numFmtId="0" fontId="20" fillId="0" borderId="0"/>
    <xf numFmtId="0" fontId="20" fillId="0" borderId="0"/>
    <xf numFmtId="0" fontId="20" fillId="0" borderId="0"/>
    <xf numFmtId="0" fontId="20" fillId="0" borderId="0"/>
    <xf numFmtId="0" fontId="20" fillId="0" borderId="0"/>
    <xf numFmtId="0" fontId="16" fillId="0" borderId="0"/>
    <xf numFmtId="0" fontId="16" fillId="0" borderId="0"/>
    <xf numFmtId="0" fontId="16" fillId="0" borderId="0"/>
    <xf numFmtId="0" fontId="16" fillId="0" borderId="0"/>
    <xf numFmtId="0" fontId="16" fillId="0" borderId="0"/>
    <xf numFmtId="0" fontId="16" fillId="0" borderId="0"/>
    <xf numFmtId="0" fontId="16" fillId="0" borderId="0"/>
    <xf numFmtId="0" fontId="17" fillId="0" borderId="0"/>
    <xf numFmtId="0" fontId="22" fillId="16" borderId="0" applyNumberFormat="0" applyBorder="0" applyAlignment="0" applyProtection="0"/>
    <xf numFmtId="173" fontId="21" fillId="0" borderId="31">
      <alignment vertical="center" wrapText="1"/>
    </xf>
    <xf numFmtId="172" fontId="21" fillId="0" borderId="31">
      <alignment vertical="center" wrapText="1"/>
    </xf>
    <xf numFmtId="184" fontId="21" fillId="0" borderId="31">
      <alignment vertical="center" wrapText="1"/>
    </xf>
    <xf numFmtId="189" fontId="21" fillId="0" borderId="31">
      <alignment vertical="center" wrapText="1"/>
    </xf>
    <xf numFmtId="192" fontId="21" fillId="0" borderId="31">
      <alignment vertical="center" wrapText="1"/>
    </xf>
    <xf numFmtId="0" fontId="27" fillId="19" borderId="32" applyNumberFormat="0" applyAlignment="0" applyProtection="0"/>
  </cellStyleXfs>
  <cellXfs count="1004">
    <xf numFmtId="0" fontId="0" fillId="0" borderId="0" xfId="0"/>
    <xf numFmtId="0" fontId="1" fillId="0" borderId="0" xfId="50"/>
    <xf numFmtId="0" fontId="1" fillId="0" borderId="0" xfId="50" applyAlignment="1">
      <alignment horizontal="right"/>
    </xf>
    <xf numFmtId="0" fontId="3" fillId="0" borderId="0" xfId="50" applyFont="1" applyAlignment="1">
      <alignment horizontal="right"/>
    </xf>
    <xf numFmtId="0" fontId="4" fillId="0" borderId="0" xfId="50" applyFont="1" applyAlignment="1">
      <alignment horizontal="center"/>
    </xf>
    <xf numFmtId="0" fontId="4" fillId="0" borderId="0" xfId="50" applyFont="1" applyAlignment="1">
      <alignment horizontal="center" wrapText="1"/>
    </xf>
    <xf numFmtId="0" fontId="1" fillId="3" borderId="0" xfId="50" applyFill="1" applyBorder="1"/>
    <xf numFmtId="164" fontId="5" fillId="3" borderId="0" xfId="8" applyFont="1" applyFill="1" applyBorder="1"/>
    <xf numFmtId="0" fontId="1" fillId="4" borderId="0" xfId="50" applyFill="1"/>
    <xf numFmtId="164" fontId="5" fillId="4" borderId="0" xfId="19" applyNumberFormat="1" applyFont="1" applyFill="1"/>
    <xf numFmtId="0" fontId="1" fillId="5" borderId="0" xfId="50" applyFill="1"/>
    <xf numFmtId="164" fontId="5" fillId="5" borderId="0" xfId="19" applyNumberFormat="1" applyFont="1" applyFill="1"/>
    <xf numFmtId="0" fontId="1" fillId="6" borderId="0" xfId="50" applyFill="1"/>
    <xf numFmtId="164" fontId="5" fillId="6" borderId="0" xfId="19" applyNumberFormat="1" applyFont="1" applyFill="1"/>
    <xf numFmtId="0" fontId="1" fillId="7" borderId="0" xfId="50" applyFill="1"/>
    <xf numFmtId="164" fontId="5" fillId="7" borderId="0" xfId="19" applyNumberFormat="1" applyFont="1" applyFill="1"/>
    <xf numFmtId="0" fontId="1" fillId="8" borderId="0" xfId="50" applyFill="1"/>
    <xf numFmtId="164" fontId="5" fillId="8" borderId="0" xfId="19" applyNumberFormat="1" applyFont="1" applyFill="1"/>
    <xf numFmtId="0" fontId="1" fillId="9" borderId="0" xfId="50" applyFill="1"/>
    <xf numFmtId="164" fontId="5" fillId="9" borderId="0" xfId="19" applyNumberFormat="1" applyFont="1" applyFill="1"/>
    <xf numFmtId="0" fontId="1" fillId="10" borderId="0" xfId="50" applyFill="1"/>
    <xf numFmtId="164" fontId="5" fillId="10" borderId="0" xfId="19" applyNumberFormat="1" applyFont="1" applyFill="1"/>
    <xf numFmtId="0" fontId="6" fillId="11" borderId="0" xfId="50" applyFont="1" applyFill="1"/>
    <xf numFmtId="164" fontId="6" fillId="11" borderId="2" xfId="8" applyFont="1" applyFill="1" applyBorder="1"/>
    <xf numFmtId="164" fontId="1" fillId="0" borderId="0" xfId="50" applyNumberFormat="1"/>
    <xf numFmtId="0" fontId="7" fillId="0" borderId="3" xfId="50" applyFont="1" applyBorder="1" applyAlignment="1">
      <alignment horizontal="center"/>
    </xf>
    <xf numFmtId="0" fontId="7" fillId="0" borderId="4" xfId="50" applyFont="1" applyBorder="1" applyAlignment="1">
      <alignment horizontal="center" wrapText="1"/>
    </xf>
    <xf numFmtId="165" fontId="7" fillId="0" borderId="4" xfId="1" applyFont="1" applyBorder="1" applyAlignment="1">
      <alignment horizontal="center" wrapText="1"/>
    </xf>
    <xf numFmtId="2" fontId="7" fillId="0" borderId="4" xfId="50" applyNumberFormat="1" applyFont="1" applyBorder="1" applyAlignment="1">
      <alignment horizontal="center" wrapText="1"/>
    </xf>
    <xf numFmtId="0" fontId="8" fillId="20" borderId="3" xfId="50" applyFont="1" applyFill="1" applyBorder="1" applyProtection="1">
      <protection locked="0"/>
    </xf>
    <xf numFmtId="0" fontId="8" fillId="20" borderId="3" xfId="50" applyFont="1" applyFill="1" applyBorder="1" applyAlignment="1">
      <alignment horizontal="left"/>
    </xf>
    <xf numFmtId="166" fontId="8" fillId="20" borderId="3" xfId="50" applyNumberFormat="1" applyFont="1" applyFill="1" applyBorder="1" applyAlignment="1" applyProtection="1">
      <protection locked="0"/>
    </xf>
    <xf numFmtId="18" fontId="8" fillId="20" borderId="3" xfId="50" applyNumberFormat="1" applyFont="1" applyFill="1" applyBorder="1" applyAlignment="1" applyProtection="1">
      <protection locked="0"/>
    </xf>
    <xf numFmtId="164" fontId="8" fillId="20" borderId="3" xfId="19" applyNumberFormat="1" applyFont="1" applyFill="1" applyBorder="1" applyAlignment="1" applyProtection="1">
      <alignment horizontal="center"/>
      <protection locked="0"/>
    </xf>
    <xf numFmtId="0" fontId="8" fillId="20" borderId="3" xfId="50" applyFont="1" applyFill="1" applyBorder="1" applyAlignment="1">
      <alignment horizontal="center"/>
    </xf>
    <xf numFmtId="0" fontId="8" fillId="0" borderId="5" xfId="50" applyFont="1" applyFill="1" applyBorder="1" applyProtection="1">
      <protection locked="0"/>
    </xf>
    <xf numFmtId="0" fontId="8" fillId="0" borderId="5" xfId="50" applyFont="1" applyFill="1" applyBorder="1" applyAlignment="1">
      <alignment horizontal="left"/>
    </xf>
    <xf numFmtId="18" fontId="8" fillId="0" borderId="5" xfId="50" quotePrefix="1" applyNumberFormat="1" applyFont="1" applyFill="1" applyBorder="1" applyAlignment="1" applyProtection="1">
      <protection locked="0"/>
    </xf>
    <xf numFmtId="165" fontId="8" fillId="0" borderId="5" xfId="1" applyFont="1" applyFill="1" applyBorder="1" applyProtection="1">
      <protection locked="0"/>
    </xf>
    <xf numFmtId="0" fontId="8" fillId="0" borderId="5" xfId="50" applyFont="1" applyFill="1" applyBorder="1" applyAlignment="1" applyProtection="1">
      <alignment horizontal="center"/>
      <protection locked="0"/>
    </xf>
    <xf numFmtId="164" fontId="8" fillId="0" borderId="6" xfId="19" applyNumberFormat="1" applyFont="1" applyFill="1" applyBorder="1" applyAlignment="1" applyProtection="1">
      <alignment horizontal="center"/>
      <protection locked="0"/>
    </xf>
    <xf numFmtId="164" fontId="8" fillId="0" borderId="5" xfId="19" applyNumberFormat="1" applyFont="1" applyFill="1" applyBorder="1" applyAlignment="1" applyProtection="1">
      <alignment horizontal="center"/>
      <protection locked="0"/>
    </xf>
    <xf numFmtId="0" fontId="8" fillId="0" borderId="5" xfId="50" applyFont="1" applyFill="1" applyBorder="1" applyAlignment="1">
      <alignment horizontal="center"/>
    </xf>
    <xf numFmtId="0" fontId="8" fillId="21" borderId="3" xfId="50" applyFont="1" applyFill="1" applyBorder="1" applyProtection="1">
      <protection locked="0"/>
    </xf>
    <xf numFmtId="0" fontId="8" fillId="21" borderId="3" xfId="50" applyFont="1" applyFill="1" applyBorder="1" applyAlignment="1">
      <alignment horizontal="left"/>
    </xf>
    <xf numFmtId="18" fontId="8" fillId="21" borderId="3" xfId="50" applyNumberFormat="1" applyFont="1" applyFill="1" applyBorder="1" applyAlignment="1" applyProtection="1">
      <protection locked="0"/>
    </xf>
    <xf numFmtId="164" fontId="8" fillId="21" borderId="3" xfId="19" applyNumberFormat="1" applyFont="1" applyFill="1" applyBorder="1" applyAlignment="1" applyProtection="1">
      <alignment horizontal="center"/>
      <protection locked="0"/>
    </xf>
    <xf numFmtId="0" fontId="8" fillId="21" borderId="3" xfId="50" applyFont="1" applyFill="1" applyBorder="1" applyAlignment="1" applyProtection="1">
      <alignment horizontal="center"/>
      <protection locked="0"/>
    </xf>
    <xf numFmtId="164" fontId="8" fillId="21" borderId="7" xfId="19" applyNumberFormat="1" applyFont="1" applyFill="1" applyBorder="1" applyAlignment="1" applyProtection="1">
      <alignment horizontal="center"/>
      <protection locked="0"/>
    </xf>
    <xf numFmtId="164" fontId="8" fillId="21" borderId="8" xfId="19" applyNumberFormat="1" applyFont="1" applyFill="1" applyBorder="1" applyAlignment="1" applyProtection="1">
      <alignment horizontal="center"/>
      <protection locked="0"/>
    </xf>
    <xf numFmtId="0" fontId="8" fillId="21" borderId="3" xfId="50" applyFont="1" applyFill="1" applyBorder="1" applyAlignment="1">
      <alignment horizontal="center"/>
    </xf>
    <xf numFmtId="0" fontId="8" fillId="4" borderId="3" xfId="50" applyFont="1" applyFill="1" applyBorder="1" applyProtection="1">
      <protection locked="0"/>
    </xf>
    <xf numFmtId="0" fontId="8" fillId="4" borderId="3" xfId="50" applyFont="1" applyFill="1" applyBorder="1" applyAlignment="1">
      <alignment horizontal="left"/>
    </xf>
    <xf numFmtId="18" fontId="8" fillId="4" borderId="3" xfId="50" applyNumberFormat="1" applyFont="1" applyFill="1" applyBorder="1" applyAlignment="1" applyProtection="1">
      <alignment horizontal="right"/>
      <protection locked="0"/>
    </xf>
    <xf numFmtId="18" fontId="8" fillId="4" borderId="3" xfId="50" applyNumberFormat="1" applyFont="1" applyFill="1" applyBorder="1" applyAlignment="1" applyProtection="1">
      <protection locked="0"/>
    </xf>
    <xf numFmtId="164" fontId="8" fillId="22" borderId="3" xfId="19" applyNumberFormat="1" applyFont="1" applyFill="1" applyBorder="1" applyAlignment="1" applyProtection="1">
      <alignment horizontal="center"/>
      <protection locked="0"/>
    </xf>
    <xf numFmtId="0" fontId="8" fillId="4" borderId="3" xfId="50" applyFont="1" applyFill="1" applyBorder="1" applyAlignment="1">
      <alignment horizontal="center"/>
    </xf>
    <xf numFmtId="18" fontId="8" fillId="21" borderId="3" xfId="50" applyNumberFormat="1" applyFont="1" applyFill="1" applyBorder="1" applyAlignment="1" applyProtection="1">
      <alignment horizontal="left"/>
      <protection locked="0"/>
    </xf>
    <xf numFmtId="18" fontId="8" fillId="22" borderId="3" xfId="50" applyNumberFormat="1" applyFont="1" applyFill="1" applyBorder="1" applyAlignment="1" applyProtection="1">
      <protection locked="0"/>
    </xf>
    <xf numFmtId="11" fontId="8" fillId="4" borderId="3" xfId="50" applyNumberFormat="1" applyFont="1" applyFill="1" applyBorder="1" applyAlignment="1" applyProtection="1">
      <protection locked="0"/>
    </xf>
    <xf numFmtId="0" fontId="8" fillId="23" borderId="3" xfId="50" applyFont="1" applyFill="1" applyBorder="1" applyProtection="1">
      <protection locked="0"/>
    </xf>
    <xf numFmtId="18" fontId="8" fillId="22" borderId="3" xfId="50" applyNumberFormat="1" applyFont="1" applyFill="1" applyBorder="1" applyAlignment="1" applyProtection="1">
      <alignment horizontal="right"/>
      <protection locked="0"/>
    </xf>
    <xf numFmtId="0" fontId="8" fillId="22" borderId="3" xfId="50" applyFont="1" applyFill="1" applyBorder="1" applyAlignment="1">
      <alignment horizontal="left"/>
    </xf>
    <xf numFmtId="166" fontId="8" fillId="4" borderId="3" xfId="50" applyNumberFormat="1" applyFont="1" applyFill="1" applyBorder="1" applyAlignment="1" applyProtection="1">
      <alignment horizontal="right"/>
      <protection locked="0"/>
    </xf>
    <xf numFmtId="18" fontId="8" fillId="0" borderId="5" xfId="50" applyNumberFormat="1" applyFont="1" applyFill="1" applyBorder="1" applyAlignment="1" applyProtection="1">
      <protection locked="0"/>
    </xf>
    <xf numFmtId="0" fontId="8" fillId="24" borderId="3" xfId="50" applyFont="1" applyFill="1" applyBorder="1" applyProtection="1">
      <protection locked="0"/>
    </xf>
    <xf numFmtId="0" fontId="8" fillId="24" borderId="3" xfId="50" applyFont="1" applyFill="1" applyBorder="1" applyAlignment="1">
      <alignment horizontal="left"/>
    </xf>
    <xf numFmtId="18" fontId="8" fillId="24" borderId="3" xfId="50" applyNumberFormat="1" applyFont="1" applyFill="1" applyBorder="1" applyAlignment="1" applyProtection="1">
      <protection locked="0"/>
    </xf>
    <xf numFmtId="164" fontId="8" fillId="24" borderId="3" xfId="19" applyNumberFormat="1" applyFont="1" applyFill="1" applyBorder="1" applyAlignment="1" applyProtection="1">
      <alignment horizontal="center"/>
      <protection locked="0"/>
    </xf>
    <xf numFmtId="0" fontId="8" fillId="24" borderId="3" xfId="50" applyFont="1" applyFill="1" applyBorder="1" applyAlignment="1">
      <alignment horizontal="center"/>
    </xf>
    <xf numFmtId="18" fontId="8" fillId="25" borderId="3" xfId="50" applyNumberFormat="1" applyFont="1" applyFill="1" applyBorder="1" applyAlignment="1" applyProtection="1">
      <alignment horizontal="right"/>
      <protection locked="0"/>
    </xf>
    <xf numFmtId="164" fontId="8" fillId="25" borderId="3" xfId="19" applyNumberFormat="1" applyFont="1" applyFill="1" applyBorder="1" applyAlignment="1" applyProtection="1">
      <alignment horizontal="center"/>
      <protection locked="0"/>
    </xf>
    <xf numFmtId="0" fontId="8" fillId="25" borderId="3" xfId="50" applyFont="1" applyFill="1" applyBorder="1" applyAlignment="1">
      <alignment horizontal="left"/>
    </xf>
    <xf numFmtId="18" fontId="8" fillId="25" borderId="3" xfId="50" applyNumberFormat="1" applyFont="1" applyFill="1" applyBorder="1" applyAlignment="1" applyProtection="1">
      <protection locked="0"/>
    </xf>
    <xf numFmtId="0" fontId="8" fillId="26" borderId="3" xfId="50" applyFont="1" applyFill="1" applyBorder="1" applyProtection="1">
      <protection locked="0"/>
    </xf>
    <xf numFmtId="0" fontId="8" fillId="26" borderId="3" xfId="50" applyFont="1" applyFill="1" applyBorder="1" applyAlignment="1">
      <alignment horizontal="left"/>
    </xf>
    <xf numFmtId="18" fontId="8" fillId="26" borderId="3" xfId="50" applyNumberFormat="1" applyFont="1" applyFill="1" applyBorder="1" applyAlignment="1" applyProtection="1">
      <protection locked="0"/>
    </xf>
    <xf numFmtId="164" fontId="8" fillId="26" borderId="3" xfId="19" applyNumberFormat="1" applyFont="1" applyFill="1" applyBorder="1" applyAlignment="1" applyProtection="1">
      <alignment horizontal="center"/>
      <protection locked="0"/>
    </xf>
    <xf numFmtId="0" fontId="8" fillId="26" borderId="3" xfId="50" applyFont="1" applyFill="1" applyBorder="1" applyAlignment="1">
      <alignment horizontal="center"/>
    </xf>
    <xf numFmtId="0" fontId="8" fillId="27" borderId="3" xfId="50" applyFont="1" applyFill="1" applyBorder="1" applyProtection="1">
      <protection locked="0"/>
    </xf>
    <xf numFmtId="0" fontId="8" fillId="27" borderId="3" xfId="50" applyFont="1" applyFill="1" applyBorder="1" applyAlignment="1">
      <alignment horizontal="left"/>
    </xf>
    <xf numFmtId="18" fontId="8" fillId="27" borderId="3" xfId="50" applyNumberFormat="1" applyFont="1" applyFill="1" applyBorder="1" applyAlignment="1" applyProtection="1">
      <protection locked="0"/>
    </xf>
    <xf numFmtId="18" fontId="8" fillId="28" borderId="3" xfId="50" applyNumberFormat="1" applyFont="1" applyFill="1" applyBorder="1" applyAlignment="1" applyProtection="1">
      <protection locked="0"/>
    </xf>
    <xf numFmtId="164" fontId="8" fillId="27" borderId="3" xfId="19" applyNumberFormat="1" applyFont="1" applyFill="1" applyBorder="1" applyAlignment="1" applyProtection="1">
      <alignment horizontal="center"/>
      <protection locked="0"/>
    </xf>
    <xf numFmtId="0" fontId="8" fillId="27" borderId="3" xfId="50" applyFont="1" applyFill="1" applyBorder="1" applyAlignment="1">
      <alignment horizontal="center"/>
    </xf>
    <xf numFmtId="0" fontId="8" fillId="12" borderId="3" xfId="50" applyFont="1" applyFill="1" applyBorder="1" applyProtection="1">
      <protection locked="0"/>
    </xf>
    <xf numFmtId="0" fontId="8" fillId="12" borderId="3" xfId="50" applyFont="1" applyFill="1" applyBorder="1" applyAlignment="1">
      <alignment horizontal="left"/>
    </xf>
    <xf numFmtId="18" fontId="8" fillId="12" borderId="3" xfId="50" applyNumberFormat="1" applyFont="1" applyFill="1" applyBorder="1" applyAlignment="1" applyProtection="1">
      <alignment horizontal="right"/>
      <protection locked="0"/>
    </xf>
    <xf numFmtId="18" fontId="8" fillId="12" borderId="3" xfId="50" applyNumberFormat="1" applyFont="1" applyFill="1" applyBorder="1" applyAlignment="1" applyProtection="1">
      <protection locked="0"/>
    </xf>
    <xf numFmtId="164" fontId="8" fillId="29" borderId="3" xfId="19" applyNumberFormat="1" applyFont="1" applyFill="1" applyBorder="1" applyAlignment="1" applyProtection="1">
      <alignment horizontal="center"/>
      <protection locked="0"/>
    </xf>
    <xf numFmtId="0" fontId="8" fillId="12" borderId="3" xfId="50" applyFont="1" applyFill="1" applyBorder="1" applyAlignment="1">
      <alignment horizontal="center"/>
    </xf>
    <xf numFmtId="0" fontId="8" fillId="29" borderId="3" xfId="50" applyFont="1" applyFill="1" applyBorder="1" applyAlignment="1">
      <alignment horizontal="left"/>
    </xf>
    <xf numFmtId="0" fontId="8" fillId="28" borderId="3" xfId="50" applyFont="1" applyFill="1" applyBorder="1" applyAlignment="1">
      <alignment horizontal="left"/>
    </xf>
    <xf numFmtId="11" fontId="8" fillId="27" borderId="3" xfId="50" applyNumberFormat="1" applyFont="1" applyFill="1" applyBorder="1" applyAlignment="1" applyProtection="1">
      <protection locked="0"/>
    </xf>
    <xf numFmtId="18" fontId="8" fillId="29" borderId="3" xfId="50" applyNumberFormat="1" applyFont="1" applyFill="1" applyBorder="1" applyAlignment="1" applyProtection="1">
      <protection locked="0"/>
    </xf>
    <xf numFmtId="0" fontId="8" fillId="30" borderId="3" xfId="50" applyFont="1" applyFill="1" applyBorder="1" applyProtection="1">
      <protection locked="0"/>
    </xf>
    <xf numFmtId="0" fontId="8" fillId="30" borderId="3" xfId="50" applyFont="1" applyFill="1" applyBorder="1" applyAlignment="1">
      <alignment horizontal="left"/>
    </xf>
    <xf numFmtId="18" fontId="8" fillId="30" borderId="3" xfId="50" applyNumberFormat="1" applyFont="1" applyFill="1" applyBorder="1" applyAlignment="1" applyProtection="1">
      <protection locked="0"/>
    </xf>
    <xf numFmtId="164" fontId="8" fillId="31" borderId="3" xfId="19" applyNumberFormat="1" applyFont="1" applyFill="1" applyBorder="1" applyAlignment="1" applyProtection="1">
      <alignment horizontal="center"/>
      <protection locked="0"/>
    </xf>
    <xf numFmtId="0" fontId="8" fillId="30" borderId="3" xfId="50" applyFont="1" applyFill="1" applyBorder="1" applyAlignment="1">
      <alignment horizontal="center"/>
    </xf>
    <xf numFmtId="0" fontId="8" fillId="8" borderId="3" xfId="50" applyFont="1" applyFill="1" applyBorder="1" applyProtection="1">
      <protection locked="0"/>
    </xf>
    <xf numFmtId="0" fontId="8" fillId="8" borderId="3" xfId="50" applyFont="1" applyFill="1" applyBorder="1" applyAlignment="1">
      <alignment horizontal="left"/>
    </xf>
    <xf numFmtId="18" fontId="8" fillId="8" borderId="3" xfId="50" applyNumberFormat="1" applyFont="1" applyFill="1" applyBorder="1" applyAlignment="1" applyProtection="1">
      <alignment horizontal="right"/>
      <protection locked="0"/>
    </xf>
    <xf numFmtId="18" fontId="8" fillId="8" borderId="3" xfId="50" applyNumberFormat="1" applyFont="1" applyFill="1" applyBorder="1" applyAlignment="1" applyProtection="1">
      <protection locked="0"/>
    </xf>
    <xf numFmtId="164" fontId="8" fillId="32" borderId="3" xfId="19" applyNumberFormat="1" applyFont="1" applyFill="1" applyBorder="1" applyAlignment="1" applyProtection="1">
      <alignment horizontal="center"/>
      <protection locked="0"/>
    </xf>
    <xf numFmtId="0" fontId="8" fillId="8" borderId="3" xfId="50" applyFont="1" applyFill="1" applyBorder="1" applyAlignment="1">
      <alignment horizontal="center"/>
    </xf>
    <xf numFmtId="0" fontId="8" fillId="32" borderId="3" xfId="50" applyFont="1" applyFill="1" applyBorder="1" applyAlignment="1">
      <alignment horizontal="left"/>
    </xf>
    <xf numFmtId="0" fontId="8" fillId="33" borderId="3" xfId="50" applyFont="1" applyFill="1" applyBorder="1" applyProtection="1">
      <protection locked="0"/>
    </xf>
    <xf numFmtId="0" fontId="8" fillId="33" borderId="3" xfId="50" applyFont="1" applyFill="1" applyBorder="1" applyAlignment="1">
      <alignment horizontal="left"/>
    </xf>
    <xf numFmtId="18" fontId="8" fillId="33" borderId="3" xfId="50" applyNumberFormat="1" applyFont="1" applyFill="1" applyBorder="1" applyAlignment="1" applyProtection="1">
      <protection locked="0"/>
    </xf>
    <xf numFmtId="164" fontId="8" fillId="33" borderId="3" xfId="19" applyNumberFormat="1" applyFont="1" applyFill="1" applyBorder="1" applyAlignment="1" applyProtection="1">
      <alignment horizontal="center"/>
      <protection locked="0"/>
    </xf>
    <xf numFmtId="0" fontId="8" fillId="33" borderId="3" xfId="50" applyFont="1" applyFill="1" applyBorder="1" applyAlignment="1">
      <alignment horizontal="center"/>
    </xf>
    <xf numFmtId="0" fontId="8" fillId="9" borderId="3" xfId="50" applyFont="1" applyFill="1" applyBorder="1" applyProtection="1">
      <protection locked="0"/>
    </xf>
    <xf numFmtId="0" fontId="8" fillId="9" borderId="3" xfId="50" applyFont="1" applyFill="1" applyBorder="1" applyAlignment="1">
      <alignment horizontal="left"/>
    </xf>
    <xf numFmtId="18" fontId="8" fillId="9" borderId="3" xfId="50" applyNumberFormat="1" applyFont="1" applyFill="1" applyBorder="1" applyAlignment="1" applyProtection="1">
      <alignment horizontal="right"/>
      <protection locked="0"/>
    </xf>
    <xf numFmtId="18" fontId="8" fillId="9" borderId="3" xfId="50" applyNumberFormat="1" applyFont="1" applyFill="1" applyBorder="1" applyAlignment="1" applyProtection="1">
      <protection locked="0"/>
    </xf>
    <xf numFmtId="164" fontId="8" fillId="34" borderId="3" xfId="19" applyNumberFormat="1" applyFont="1" applyFill="1" applyBorder="1" applyAlignment="1" applyProtection="1">
      <alignment horizontal="center"/>
      <protection locked="0"/>
    </xf>
    <xf numFmtId="0" fontId="8" fillId="9" borderId="3" xfId="50" applyFont="1" applyFill="1" applyBorder="1" applyAlignment="1">
      <alignment horizontal="center"/>
    </xf>
    <xf numFmtId="0" fontId="8" fillId="34" borderId="3" xfId="50" applyFont="1" applyFill="1" applyBorder="1" applyAlignment="1">
      <alignment horizontal="left"/>
    </xf>
    <xf numFmtId="11" fontId="8" fillId="9" borderId="3" xfId="50" applyNumberFormat="1" applyFont="1" applyFill="1" applyBorder="1" applyAlignment="1" applyProtection="1">
      <protection locked="0"/>
    </xf>
    <xf numFmtId="0" fontId="8" fillId="35" borderId="3" xfId="50" applyFont="1" applyFill="1" applyBorder="1" applyProtection="1">
      <protection locked="0"/>
    </xf>
    <xf numFmtId="0" fontId="8" fillId="35" borderId="3" xfId="50" applyFont="1" applyFill="1" applyBorder="1" applyAlignment="1">
      <alignment horizontal="left"/>
    </xf>
    <xf numFmtId="18" fontId="8" fillId="35" borderId="3" xfId="50" applyNumberFormat="1" applyFont="1" applyFill="1" applyBorder="1" applyAlignment="1" applyProtection="1">
      <protection locked="0"/>
    </xf>
    <xf numFmtId="164" fontId="8" fillId="36" borderId="3" xfId="19" applyNumberFormat="1" applyFont="1" applyFill="1" applyBorder="1" applyAlignment="1" applyProtection="1">
      <alignment horizontal="center"/>
      <protection locked="0"/>
    </xf>
    <xf numFmtId="0" fontId="8" fillId="35" borderId="3" xfId="50" applyFont="1" applyFill="1" applyBorder="1" applyAlignment="1">
      <alignment horizontal="center"/>
    </xf>
    <xf numFmtId="0" fontId="8" fillId="10" borderId="3" xfId="50" applyFont="1" applyFill="1" applyBorder="1" applyProtection="1">
      <protection locked="0"/>
    </xf>
    <xf numFmtId="0" fontId="8" fillId="10" borderId="3" xfId="50" applyFont="1" applyFill="1" applyBorder="1" applyAlignment="1">
      <alignment horizontal="left"/>
    </xf>
    <xf numFmtId="18" fontId="8" fillId="10" borderId="3" xfId="50" applyNumberFormat="1" applyFont="1" applyFill="1" applyBorder="1" applyAlignment="1" applyProtection="1">
      <alignment horizontal="right"/>
      <protection locked="0"/>
    </xf>
    <xf numFmtId="18" fontId="8" fillId="10" borderId="3" xfId="50" applyNumberFormat="1" applyFont="1" applyFill="1" applyBorder="1" applyAlignment="1" applyProtection="1">
      <protection locked="0"/>
    </xf>
    <xf numFmtId="164" fontId="8" fillId="37" borderId="3" xfId="19" applyNumberFormat="1" applyFont="1" applyFill="1" applyBorder="1" applyAlignment="1" applyProtection="1">
      <alignment horizontal="center"/>
      <protection locked="0"/>
    </xf>
    <xf numFmtId="0" fontId="8" fillId="10" borderId="3" xfId="50" applyFont="1" applyFill="1" applyBorder="1" applyAlignment="1">
      <alignment horizontal="center"/>
    </xf>
    <xf numFmtId="0" fontId="8" fillId="37" borderId="3" xfId="50" applyFont="1" applyFill="1" applyBorder="1" applyAlignment="1">
      <alignment horizontal="left"/>
    </xf>
    <xf numFmtId="11" fontId="8" fillId="10" borderId="3" xfId="50" applyNumberFormat="1" applyFont="1" applyFill="1" applyBorder="1" applyAlignment="1" applyProtection="1">
      <protection locked="0"/>
    </xf>
    <xf numFmtId="0" fontId="9" fillId="11" borderId="0" xfId="50" applyFont="1" applyFill="1" applyProtection="1">
      <protection locked="0"/>
    </xf>
    <xf numFmtId="0" fontId="10" fillId="11" borderId="0" xfId="50" applyFont="1" applyFill="1"/>
    <xf numFmtId="0" fontId="9" fillId="11" borderId="0" xfId="50" applyFont="1" applyFill="1"/>
    <xf numFmtId="0" fontId="10" fillId="11" borderId="6" xfId="50" applyFont="1" applyFill="1" applyBorder="1" applyAlignment="1">
      <alignment horizontal="left"/>
    </xf>
    <xf numFmtId="165" fontId="9" fillId="11" borderId="0" xfId="1" applyFont="1" applyFill="1"/>
    <xf numFmtId="164" fontId="28" fillId="38" borderId="5" xfId="19" applyNumberFormat="1" applyFont="1" applyFill="1" applyBorder="1" applyAlignment="1" applyProtection="1">
      <alignment horizontal="center"/>
      <protection locked="0"/>
    </xf>
    <xf numFmtId="0" fontId="11" fillId="13" borderId="9" xfId="0" applyFont="1" applyFill="1" applyBorder="1"/>
    <xf numFmtId="0" fontId="0" fillId="14" borderId="10" xfId="0" applyFill="1" applyBorder="1"/>
    <xf numFmtId="0" fontId="3" fillId="0" borderId="0" xfId="50" applyFont="1"/>
    <xf numFmtId="0" fontId="12" fillId="0" borderId="0" xfId="50" applyFont="1"/>
    <xf numFmtId="0" fontId="4" fillId="0" borderId="0" xfId="50" applyFont="1"/>
    <xf numFmtId="165" fontId="3" fillId="0" borderId="0" xfId="1" applyFont="1"/>
    <xf numFmtId="0" fontId="11" fillId="13" borderId="0" xfId="0" applyFont="1" applyFill="1" applyBorder="1" applyAlignment="1"/>
    <xf numFmtId="0" fontId="1" fillId="0" borderId="0" xfId="50" applyFont="1"/>
    <xf numFmtId="0" fontId="0" fillId="0" borderId="0" xfId="0" applyBorder="1"/>
    <xf numFmtId="0" fontId="0" fillId="0" borderId="0" xfId="0" applyFont="1"/>
    <xf numFmtId="0" fontId="0" fillId="14" borderId="10" xfId="0" quotePrefix="1" applyFill="1" applyBorder="1" applyAlignment="1">
      <alignment horizontal="left"/>
    </xf>
    <xf numFmtId="0" fontId="11" fillId="0" borderId="0" xfId="0" applyFont="1" applyFill="1" applyBorder="1"/>
    <xf numFmtId="0" fontId="0" fillId="0" borderId="0" xfId="0" applyFont="1" applyFill="1" applyBorder="1"/>
    <xf numFmtId="0" fontId="0" fillId="0" borderId="0" xfId="0" applyFill="1" applyBorder="1"/>
    <xf numFmtId="0" fontId="0" fillId="0" borderId="0" xfId="0" applyFill="1"/>
    <xf numFmtId="0" fontId="0" fillId="0" borderId="0" xfId="0" applyFont="1" applyFill="1"/>
    <xf numFmtId="0" fontId="13" fillId="0" borderId="0" xfId="50" applyFont="1"/>
    <xf numFmtId="2" fontId="1" fillId="0" borderId="0" xfId="50" applyNumberFormat="1" applyFont="1" applyFill="1"/>
    <xf numFmtId="0" fontId="1" fillId="0" borderId="0" xfId="50" applyFont="1" applyFill="1"/>
    <xf numFmtId="0" fontId="1" fillId="0" borderId="0" xfId="50" applyFont="1" applyProtection="1">
      <protection locked="0"/>
    </xf>
    <xf numFmtId="165" fontId="1" fillId="0" borderId="0" xfId="1" applyFont="1"/>
    <xf numFmtId="0" fontId="14" fillId="20" borderId="11" xfId="0" applyFont="1" applyFill="1" applyBorder="1"/>
    <xf numFmtId="0" fontId="15" fillId="0" borderId="0" xfId="0" applyFont="1" applyFill="1" applyBorder="1"/>
    <xf numFmtId="0" fontId="14" fillId="39" borderId="11" xfId="0" applyFont="1" applyFill="1" applyBorder="1"/>
    <xf numFmtId="0" fontId="15" fillId="0" borderId="0" xfId="0" quotePrefix="1" applyFont="1" applyFill="1" applyBorder="1" applyAlignment="1">
      <alignment horizontal="right"/>
    </xf>
    <xf numFmtId="164" fontId="15" fillId="0" borderId="0" xfId="24" applyNumberFormat="1" applyFont="1" applyFill="1" applyBorder="1"/>
    <xf numFmtId="37" fontId="15" fillId="0" borderId="0" xfId="13" applyNumberFormat="1" applyFont="1" applyFill="1" applyBorder="1"/>
    <xf numFmtId="0" fontId="15" fillId="0" borderId="0" xfId="0" applyFont="1" applyFill="1" applyBorder="1" applyAlignment="1">
      <alignment horizontal="left"/>
    </xf>
    <xf numFmtId="0" fontId="14" fillId="39" borderId="3" xfId="0" applyFont="1" applyFill="1" applyBorder="1"/>
    <xf numFmtId="0" fontId="15" fillId="0" borderId="3" xfId="0" applyFont="1" applyFill="1" applyBorder="1"/>
    <xf numFmtId="0" fontId="15" fillId="0" borderId="3" xfId="24" applyNumberFormat="1" applyFont="1" applyFill="1" applyBorder="1"/>
    <xf numFmtId="164" fontId="15" fillId="0" borderId="3" xfId="24" applyFont="1" applyFill="1" applyBorder="1"/>
    <xf numFmtId="0" fontId="15" fillId="0" borderId="3" xfId="0" applyNumberFormat="1" applyFont="1" applyFill="1" applyBorder="1"/>
    <xf numFmtId="0" fontId="0" fillId="0" borderId="0" xfId="0" applyNumberFormat="1"/>
    <xf numFmtId="0" fontId="15" fillId="0" borderId="0" xfId="66" applyFont="1" applyFill="1" applyBorder="1" applyAlignment="1" applyProtection="1">
      <alignment vertical="center" wrapText="1"/>
    </xf>
    <xf numFmtId="0" fontId="15" fillId="0" borderId="0" xfId="66" applyFont="1" applyFill="1" applyBorder="1"/>
    <xf numFmtId="167" fontId="29" fillId="0" borderId="0" xfId="6" applyNumberFormat="1" applyFont="1" applyFill="1" applyBorder="1">
      <alignment vertical="center" wrapText="1"/>
    </xf>
    <xf numFmtId="0" fontId="14" fillId="39" borderId="3" xfId="0" applyFont="1" applyFill="1" applyBorder="1" applyAlignment="1">
      <alignment horizontal="right"/>
    </xf>
    <xf numFmtId="164" fontId="14" fillId="39" borderId="3" xfId="0" applyNumberFormat="1" applyFont="1" applyFill="1" applyBorder="1"/>
    <xf numFmtId="0" fontId="14" fillId="0" borderId="0" xfId="0" applyFont="1" applyFill="1" applyBorder="1"/>
    <xf numFmtId="0" fontId="0" fillId="0" borderId="3" xfId="0" applyBorder="1"/>
    <xf numFmtId="0" fontId="5" fillId="0" borderId="3" xfId="72" applyFont="1" applyFill="1" applyBorder="1" applyAlignment="1">
      <alignment wrapText="1"/>
    </xf>
    <xf numFmtId="169" fontId="20" fillId="0" borderId="3" xfId="35" applyNumberFormat="1" applyFont="1" applyFill="1" applyBorder="1"/>
    <xf numFmtId="164" fontId="20" fillId="0" borderId="1" xfId="26" applyFont="1" applyBorder="1"/>
    <xf numFmtId="0" fontId="15" fillId="0" borderId="3" xfId="0" applyFont="1" applyFill="1" applyBorder="1" applyAlignment="1"/>
    <xf numFmtId="0" fontId="15" fillId="0" borderId="3" xfId="0" applyFont="1" applyFill="1" applyBorder="1" applyAlignment="1">
      <alignment wrapText="1"/>
    </xf>
    <xf numFmtId="164" fontId="15" fillId="0" borderId="3" xfId="24" applyFont="1" applyFill="1" applyBorder="1" applyAlignment="1"/>
    <xf numFmtId="169" fontId="15" fillId="0" borderId="3" xfId="0" applyNumberFormat="1" applyFont="1" applyFill="1" applyBorder="1"/>
    <xf numFmtId="0" fontId="15" fillId="0" borderId="3" xfId="71" applyFont="1" applyFill="1" applyBorder="1" applyAlignment="1" applyProtection="1">
      <alignment vertical="center" wrapText="1"/>
    </xf>
    <xf numFmtId="37" fontId="15" fillId="0" borderId="3" xfId="24" applyNumberFormat="1" applyFont="1" applyFill="1" applyBorder="1"/>
    <xf numFmtId="39" fontId="15" fillId="0" borderId="3" xfId="24" applyNumberFormat="1" applyFont="1" applyFill="1" applyBorder="1"/>
    <xf numFmtId="0" fontId="15" fillId="0" borderId="3" xfId="0" applyFont="1" applyFill="1" applyBorder="1" applyAlignment="1" applyProtection="1">
      <alignment wrapText="1"/>
    </xf>
    <xf numFmtId="169" fontId="15" fillId="0" borderId="3" xfId="0" applyNumberFormat="1" applyFont="1" applyFill="1" applyBorder="1" applyAlignment="1">
      <alignment wrapText="1"/>
    </xf>
    <xf numFmtId="39" fontId="15" fillId="0" borderId="3" xfId="24" applyNumberFormat="1" applyFont="1" applyFill="1" applyBorder="1" applyAlignment="1">
      <alignment wrapText="1"/>
    </xf>
    <xf numFmtId="0" fontId="15" fillId="0" borderId="3" xfId="0" applyNumberFormat="1" applyFont="1" applyFill="1" applyBorder="1" applyAlignment="1">
      <alignment wrapText="1"/>
    </xf>
    <xf numFmtId="37" fontId="15" fillId="0" borderId="3" xfId="24" applyNumberFormat="1" applyFont="1" applyFill="1" applyBorder="1" applyAlignment="1">
      <alignment wrapText="1"/>
    </xf>
    <xf numFmtId="164" fontId="15" fillId="0" borderId="3" xfId="24" applyFont="1" applyFill="1" applyBorder="1" applyAlignment="1">
      <alignment wrapText="1"/>
    </xf>
    <xf numFmtId="0" fontId="0" fillId="0" borderId="0" xfId="0" applyAlignment="1">
      <alignment wrapText="1"/>
    </xf>
    <xf numFmtId="0" fontId="14" fillId="40" borderId="11" xfId="0" applyFont="1" applyFill="1" applyBorder="1"/>
    <xf numFmtId="0" fontId="14" fillId="40" borderId="11" xfId="0" applyFont="1" applyFill="1" applyBorder="1" applyAlignment="1">
      <alignment horizontal="left"/>
    </xf>
    <xf numFmtId="49" fontId="15" fillId="0" borderId="0" xfId="0" applyNumberFormat="1" applyFont="1" applyFill="1" applyBorder="1" applyAlignment="1">
      <alignment horizontal="left"/>
    </xf>
    <xf numFmtId="0" fontId="14" fillId="40" borderId="12" xfId="0" applyFont="1" applyFill="1" applyBorder="1"/>
    <xf numFmtId="0" fontId="14" fillId="0" borderId="13" xfId="0" applyFont="1" applyFill="1" applyBorder="1"/>
    <xf numFmtId="0" fontId="14" fillId="40" borderId="14" xfId="0" applyFont="1" applyFill="1" applyBorder="1"/>
    <xf numFmtId="0" fontId="14" fillId="40" borderId="3" xfId="0" applyFont="1" applyFill="1" applyBorder="1"/>
    <xf numFmtId="165" fontId="15" fillId="0" borderId="3" xfId="13" applyFont="1" applyFill="1" applyBorder="1" applyAlignment="1"/>
    <xf numFmtId="11" fontId="15" fillId="0" borderId="3" xfId="0" applyNumberFormat="1" applyFont="1" applyFill="1" applyBorder="1" applyAlignment="1"/>
    <xf numFmtId="11" fontId="15" fillId="0" borderId="3" xfId="13" applyNumberFormat="1" applyFont="1" applyFill="1" applyBorder="1" applyAlignment="1"/>
    <xf numFmtId="170" fontId="15" fillId="0" borderId="3" xfId="13" applyNumberFormat="1" applyFont="1" applyFill="1" applyBorder="1" applyAlignment="1"/>
    <xf numFmtId="3" fontId="0" fillId="0" borderId="3" xfId="0" applyNumberFormat="1" applyBorder="1" applyAlignment="1"/>
    <xf numFmtId="2" fontId="15" fillId="0" borderId="3" xfId="13" applyNumberFormat="1" applyFont="1" applyFill="1" applyBorder="1" applyAlignment="1"/>
    <xf numFmtId="164" fontId="15" fillId="0" borderId="3" xfId="24" applyNumberFormat="1" applyFont="1" applyFill="1" applyBorder="1" applyAlignment="1"/>
    <xf numFmtId="0" fontId="0" fillId="0" borderId="0" xfId="0" applyAlignment="1"/>
    <xf numFmtId="0" fontId="14" fillId="40" borderId="3" xfId="0" applyFont="1" applyFill="1" applyBorder="1" applyAlignment="1">
      <alignment horizontal="right"/>
    </xf>
    <xf numFmtId="164" fontId="14" fillId="40" borderId="14" xfId="0" applyNumberFormat="1" applyFont="1" applyFill="1" applyBorder="1"/>
    <xf numFmtId="169" fontId="0" fillId="0" borderId="3" xfId="0" applyNumberFormat="1" applyBorder="1"/>
    <xf numFmtId="1" fontId="15" fillId="0" borderId="3" xfId="0" applyNumberFormat="1" applyFont="1" applyFill="1" applyBorder="1"/>
    <xf numFmtId="0" fontId="14" fillId="40" borderId="14" xfId="0" applyFont="1" applyFill="1" applyBorder="1" applyAlignment="1">
      <alignment horizontal="right"/>
    </xf>
    <xf numFmtId="0" fontId="0" fillId="0" borderId="3" xfId="0" applyBorder="1" applyAlignment="1"/>
    <xf numFmtId="0" fontId="15" fillId="0" borderId="3" xfId="0" applyFont="1" applyFill="1" applyBorder="1" applyAlignment="1">
      <alignment horizontal="left"/>
    </xf>
    <xf numFmtId="165" fontId="15" fillId="0" borderId="3" xfId="13" applyFont="1" applyFill="1" applyBorder="1"/>
    <xf numFmtId="11" fontId="15" fillId="0" borderId="3" xfId="0" applyNumberFormat="1" applyFont="1" applyFill="1" applyBorder="1"/>
    <xf numFmtId="171" fontId="15" fillId="0" borderId="3" xfId="13" applyNumberFormat="1" applyFont="1" applyFill="1" applyBorder="1"/>
    <xf numFmtId="0" fontId="15" fillId="0" borderId="3" xfId="13" applyNumberFormat="1" applyFont="1" applyFill="1" applyBorder="1"/>
    <xf numFmtId="164" fontId="15" fillId="0" borderId="3" xfId="24" applyNumberFormat="1" applyFont="1" applyFill="1" applyBorder="1"/>
    <xf numFmtId="164" fontId="14" fillId="40" borderId="3" xfId="0" applyNumberFormat="1" applyFont="1" applyFill="1" applyBorder="1"/>
    <xf numFmtId="0" fontId="15" fillId="0" borderId="3" xfId="0" applyFont="1" applyFill="1" applyBorder="1" applyAlignment="1" applyProtection="1">
      <alignment vertical="center" wrapText="1"/>
    </xf>
    <xf numFmtId="167" fontId="29" fillId="0" borderId="3" xfId="6" applyNumberFormat="1" applyFont="1" applyFill="1" applyBorder="1">
      <alignment vertical="center" wrapText="1"/>
    </xf>
    <xf numFmtId="11" fontId="15" fillId="0" borderId="3" xfId="13" applyNumberFormat="1" applyFont="1" applyFill="1" applyBorder="1"/>
    <xf numFmtId="170" fontId="15" fillId="0" borderId="3" xfId="13" applyNumberFormat="1" applyFont="1" applyFill="1" applyBorder="1"/>
    <xf numFmtId="0" fontId="15" fillId="0" borderId="0" xfId="71" applyFont="1" applyFill="1" applyBorder="1"/>
    <xf numFmtId="11" fontId="0" fillId="0" borderId="0" xfId="0" applyNumberFormat="1"/>
    <xf numFmtId="0" fontId="15" fillId="0" borderId="0" xfId="71" applyFont="1" applyFill="1" applyBorder="1" applyAlignment="1" applyProtection="1">
      <alignment vertical="center" wrapText="1"/>
    </xf>
    <xf numFmtId="0" fontId="15" fillId="0" borderId="3" xfId="0" applyFont="1" applyFill="1" applyBorder="1" applyAlignment="1">
      <alignment vertical="center"/>
    </xf>
    <xf numFmtId="164" fontId="29" fillId="0" borderId="3" xfId="49" applyNumberFormat="1" applyFont="1" applyFill="1" applyBorder="1" applyAlignment="1">
      <alignment vertical="center"/>
    </xf>
    <xf numFmtId="0" fontId="15" fillId="0" borderId="3" xfId="0" applyNumberFormat="1" applyFont="1" applyFill="1" applyBorder="1" applyAlignment="1">
      <alignment vertical="center"/>
    </xf>
    <xf numFmtId="0" fontId="15" fillId="0" borderId="3" xfId="13" applyNumberFormat="1" applyFont="1" applyFill="1" applyBorder="1" applyAlignment="1">
      <alignment vertical="center"/>
    </xf>
    <xf numFmtId="11" fontId="15" fillId="0" borderId="3" xfId="0" applyNumberFormat="1" applyFont="1" applyFill="1" applyBorder="1" applyAlignment="1">
      <alignment vertical="center"/>
    </xf>
    <xf numFmtId="11" fontId="15" fillId="0" borderId="3" xfId="13" applyNumberFormat="1" applyFont="1" applyFill="1" applyBorder="1" applyAlignment="1">
      <alignment vertical="center"/>
    </xf>
    <xf numFmtId="165" fontId="15" fillId="0" borderId="3" xfId="13" applyFont="1" applyFill="1" applyBorder="1" applyAlignment="1">
      <alignment vertical="center"/>
    </xf>
    <xf numFmtId="164" fontId="15" fillId="0" borderId="3" xfId="20" applyNumberFormat="1" applyFont="1" applyFill="1" applyBorder="1" applyAlignment="1">
      <alignment vertical="center"/>
    </xf>
    <xf numFmtId="11" fontId="15" fillId="0" borderId="0" xfId="0" applyNumberFormat="1" applyFont="1" applyFill="1" applyBorder="1" applyAlignment="1">
      <alignment vertical="center"/>
    </xf>
    <xf numFmtId="164" fontId="15" fillId="0" borderId="3" xfId="20" applyFont="1" applyFill="1" applyBorder="1" applyAlignment="1"/>
    <xf numFmtId="169" fontId="15" fillId="0" borderId="3" xfId="24" applyNumberFormat="1" applyFont="1" applyFill="1" applyBorder="1"/>
    <xf numFmtId="164" fontId="20" fillId="0" borderId="3" xfId="20" applyFont="1" applyBorder="1"/>
    <xf numFmtId="173" fontId="21" fillId="0" borderId="3" xfId="75" applyNumberFormat="1" applyBorder="1">
      <alignment vertical="center" wrapText="1"/>
    </xf>
    <xf numFmtId="39" fontId="15" fillId="0" borderId="3" xfId="20" applyNumberFormat="1" applyFont="1" applyFill="1" applyBorder="1"/>
    <xf numFmtId="164" fontId="15" fillId="0" borderId="3" xfId="20" applyFont="1" applyFill="1" applyBorder="1" applyAlignment="1">
      <alignment vertical="center"/>
    </xf>
    <xf numFmtId="0" fontId="14" fillId="20" borderId="11" xfId="0" applyFont="1" applyFill="1" applyBorder="1" applyAlignment="1">
      <alignment wrapText="1"/>
    </xf>
    <xf numFmtId="0" fontId="15" fillId="0" borderId="0" xfId="0" applyFont="1" applyFill="1" applyBorder="1" applyAlignment="1">
      <alignment wrapText="1"/>
    </xf>
    <xf numFmtId="0" fontId="14" fillId="39" borderId="11" xfId="0" applyFont="1" applyFill="1" applyBorder="1" applyAlignment="1">
      <alignment wrapText="1"/>
    </xf>
    <xf numFmtId="0" fontId="15" fillId="0" borderId="0" xfId="0" quotePrefix="1" applyFont="1" applyFill="1" applyBorder="1" applyAlignment="1">
      <alignment horizontal="right" wrapText="1"/>
    </xf>
    <xf numFmtId="164" fontId="15" fillId="0" borderId="0" xfId="24" applyNumberFormat="1" applyFont="1" applyFill="1" applyBorder="1" applyAlignment="1">
      <alignment wrapText="1"/>
    </xf>
    <xf numFmtId="37" fontId="15" fillId="0" borderId="0" xfId="13" applyNumberFormat="1" applyFont="1" applyFill="1" applyBorder="1" applyAlignment="1">
      <alignment horizontal="right" indent="1"/>
    </xf>
    <xf numFmtId="0" fontId="0" fillId="0" borderId="0" xfId="0" applyBorder="1" applyAlignment="1">
      <alignment wrapText="1"/>
    </xf>
    <xf numFmtId="0" fontId="14" fillId="39" borderId="3" xfId="0" applyFont="1" applyFill="1" applyBorder="1" applyAlignment="1">
      <alignment wrapText="1"/>
    </xf>
    <xf numFmtId="0" fontId="15" fillId="0" borderId="0" xfId="0" applyFont="1" applyFill="1" applyBorder="1" applyAlignment="1">
      <alignment vertical="center" wrapText="1"/>
    </xf>
    <xf numFmtId="0" fontId="15" fillId="0" borderId="0" xfId="0" applyFont="1" applyFill="1" applyBorder="1" applyAlignment="1" applyProtection="1">
      <alignment vertical="center" wrapText="1"/>
    </xf>
    <xf numFmtId="164" fontId="15" fillId="0" borderId="0" xfId="20" applyNumberFormat="1" applyFont="1" applyFill="1" applyBorder="1" applyAlignment="1">
      <alignment vertical="center" wrapText="1"/>
    </xf>
    <xf numFmtId="0" fontId="15" fillId="0" borderId="3" xfId="0" applyFont="1" applyFill="1" applyBorder="1" applyAlignment="1">
      <alignment horizontal="left" vertical="top" wrapText="1"/>
    </xf>
    <xf numFmtId="164" fontId="15" fillId="0" borderId="3" xfId="24" applyFont="1" applyFill="1" applyBorder="1" applyAlignment="1">
      <alignment horizontal="right" wrapText="1" indent="2"/>
    </xf>
    <xf numFmtId="164" fontId="15" fillId="0" borderId="3" xfId="24" applyNumberFormat="1" applyFont="1" applyFill="1" applyBorder="1" applyAlignment="1">
      <alignment wrapText="1"/>
    </xf>
    <xf numFmtId="164" fontId="29" fillId="0" borderId="0" xfId="4" applyFont="1" applyFill="1" applyBorder="1" applyAlignment="1">
      <alignment vertical="center" wrapText="1"/>
    </xf>
    <xf numFmtId="0" fontId="29" fillId="0" borderId="0" xfId="0" applyFont="1" applyAlignment="1">
      <alignment wrapText="1"/>
    </xf>
    <xf numFmtId="164" fontId="29" fillId="0" borderId="0" xfId="79" applyNumberFormat="1" applyFont="1" applyFill="1" applyBorder="1" applyAlignment="1">
      <alignment vertical="center" wrapText="1"/>
    </xf>
    <xf numFmtId="0" fontId="29" fillId="0" borderId="0" xfId="0" applyFont="1" applyBorder="1" applyAlignment="1">
      <alignment wrapText="1"/>
    </xf>
    <xf numFmtId="0" fontId="14" fillId="39" borderId="14" xfId="0" applyFont="1" applyFill="1" applyBorder="1" applyAlignment="1">
      <alignment horizontal="right" wrapText="1"/>
    </xf>
    <xf numFmtId="169" fontId="14" fillId="39" borderId="3" xfId="0" applyNumberFormat="1" applyFont="1" applyFill="1" applyBorder="1" applyAlignment="1">
      <alignment wrapText="1"/>
    </xf>
    <xf numFmtId="0" fontId="0" fillId="0" borderId="3" xfId="0" applyBorder="1" applyAlignment="1">
      <alignment wrapText="1"/>
    </xf>
    <xf numFmtId="165" fontId="15" fillId="0" borderId="3" xfId="13" applyFont="1" applyFill="1" applyBorder="1" applyAlignment="1">
      <alignment wrapText="1"/>
    </xf>
    <xf numFmtId="11" fontId="15" fillId="0" borderId="3" xfId="0" applyNumberFormat="1" applyFont="1" applyFill="1" applyBorder="1" applyAlignment="1">
      <alignment wrapText="1"/>
    </xf>
    <xf numFmtId="171" fontId="15" fillId="0" borderId="3" xfId="13" applyNumberFormat="1" applyFont="1" applyFill="1" applyBorder="1" applyAlignment="1">
      <alignment wrapText="1"/>
    </xf>
    <xf numFmtId="0" fontId="15" fillId="0" borderId="3" xfId="13" applyNumberFormat="1" applyFont="1" applyFill="1" applyBorder="1" applyAlignment="1">
      <alignment wrapText="1"/>
    </xf>
    <xf numFmtId="0" fontId="15" fillId="0" borderId="3" xfId="0" applyFont="1" applyFill="1" applyBorder="1" applyAlignment="1">
      <alignment vertical="center" wrapText="1"/>
    </xf>
    <xf numFmtId="2" fontId="15" fillId="0" borderId="3" xfId="24" applyNumberFormat="1" applyFont="1" applyFill="1" applyBorder="1" applyAlignment="1">
      <alignment wrapText="1"/>
    </xf>
    <xf numFmtId="11" fontId="15" fillId="0" borderId="3" xfId="13" applyNumberFormat="1" applyFont="1" applyFill="1" applyBorder="1" applyAlignment="1">
      <alignment wrapText="1"/>
    </xf>
    <xf numFmtId="0" fontId="15" fillId="0" borderId="3" xfId="65" applyFont="1" applyFill="1" applyBorder="1" applyAlignment="1" applyProtection="1">
      <alignment vertical="center" wrapText="1"/>
    </xf>
    <xf numFmtId="170" fontId="15" fillId="0" borderId="3" xfId="13" applyNumberFormat="1" applyFont="1" applyFill="1" applyBorder="1" applyAlignment="1">
      <alignment wrapText="1"/>
    </xf>
    <xf numFmtId="172" fontId="15" fillId="0" borderId="3" xfId="0" applyNumberFormat="1" applyFont="1" applyFill="1" applyBorder="1" applyAlignment="1">
      <alignment wrapText="1"/>
    </xf>
    <xf numFmtId="0" fontId="14" fillId="0" borderId="0" xfId="0" applyFont="1" applyFill="1" applyBorder="1" applyAlignment="1">
      <alignment wrapText="1"/>
    </xf>
    <xf numFmtId="0" fontId="14" fillId="39" borderId="3" xfId="0" applyFont="1" applyFill="1" applyBorder="1" applyAlignment="1">
      <alignment horizontal="right" wrapText="1"/>
    </xf>
    <xf numFmtId="169" fontId="15" fillId="0" borderId="3" xfId="24" applyNumberFormat="1" applyFont="1" applyFill="1" applyBorder="1" applyAlignment="1">
      <alignment wrapText="1"/>
    </xf>
    <xf numFmtId="164" fontId="20" fillId="0" borderId="3" xfId="44" applyFont="1" applyBorder="1" applyAlignment="1">
      <alignment wrapText="1"/>
    </xf>
    <xf numFmtId="164" fontId="20" fillId="0" borderId="3" xfId="24" applyFont="1" applyBorder="1" applyAlignment="1">
      <alignment wrapText="1"/>
    </xf>
    <xf numFmtId="0" fontId="30" fillId="0" borderId="0" xfId="0" applyFont="1" applyFill="1" applyAlignment="1">
      <alignment wrapText="1"/>
    </xf>
    <xf numFmtId="164" fontId="20" fillId="0" borderId="3" xfId="20" applyFont="1" applyBorder="1" applyAlignment="1">
      <alignment wrapText="1"/>
    </xf>
    <xf numFmtId="0" fontId="5" fillId="0" borderId="3" xfId="72" applyFont="1" applyFill="1" applyBorder="1" applyAlignment="1"/>
    <xf numFmtId="0" fontId="5" fillId="0" borderId="15" xfId="72" applyFont="1" applyFill="1" applyBorder="1" applyAlignment="1">
      <alignment wrapText="1"/>
    </xf>
    <xf numFmtId="164" fontId="20" fillId="0" borderId="3" xfId="26" applyFont="1" applyBorder="1" applyAlignment="1">
      <alignment wrapText="1"/>
    </xf>
    <xf numFmtId="164" fontId="20" fillId="0" borderId="0" xfId="26" applyFont="1" applyBorder="1" applyAlignment="1">
      <alignment wrapText="1"/>
    </xf>
    <xf numFmtId="0" fontId="5" fillId="0" borderId="0" xfId="72" applyFont="1" applyFill="1" applyBorder="1" applyAlignment="1">
      <alignment wrapText="1"/>
    </xf>
    <xf numFmtId="173" fontId="21" fillId="0" borderId="3" xfId="74" applyNumberFormat="1" applyBorder="1" applyAlignment="1">
      <alignment vertical="center" wrapText="1"/>
    </xf>
    <xf numFmtId="164" fontId="14" fillId="39" borderId="3" xfId="0" applyNumberFormat="1" applyFont="1" applyFill="1" applyBorder="1" applyAlignment="1">
      <alignment wrapText="1"/>
    </xf>
    <xf numFmtId="0" fontId="15" fillId="0" borderId="0" xfId="0" applyFont="1" applyFill="1" applyBorder="1" applyAlignment="1">
      <alignment horizontal="right" wrapText="1"/>
    </xf>
    <xf numFmtId="164" fontId="15" fillId="0" borderId="0" xfId="0" applyNumberFormat="1" applyFont="1" applyFill="1" applyBorder="1" applyAlignment="1">
      <alignment wrapText="1"/>
    </xf>
    <xf numFmtId="0" fontId="14" fillId="40" borderId="11" xfId="0" applyFont="1" applyFill="1" applyBorder="1" applyAlignment="1">
      <alignment wrapText="1"/>
    </xf>
    <xf numFmtId="0" fontId="14" fillId="40" borderId="11" xfId="0" applyFont="1" applyFill="1" applyBorder="1" applyAlignment="1">
      <alignment horizontal="left" wrapText="1"/>
    </xf>
    <xf numFmtId="37" fontId="15" fillId="0" borderId="0" xfId="13" applyNumberFormat="1" applyFont="1" applyFill="1" applyBorder="1" applyAlignment="1">
      <alignment wrapText="1"/>
    </xf>
    <xf numFmtId="49" fontId="0" fillId="0" borderId="0" xfId="0" applyNumberFormat="1" applyAlignment="1">
      <alignment wrapText="1"/>
    </xf>
    <xf numFmtId="0" fontId="14" fillId="40" borderId="12" xfId="0" applyFont="1" applyFill="1" applyBorder="1" applyAlignment="1">
      <alignment wrapText="1"/>
    </xf>
    <xf numFmtId="0" fontId="14" fillId="0" borderId="13" xfId="0" applyFont="1" applyFill="1" applyBorder="1" applyAlignment="1">
      <alignment wrapText="1"/>
    </xf>
    <xf numFmtId="0" fontId="14" fillId="40" borderId="14" xfId="0" applyFont="1" applyFill="1" applyBorder="1" applyAlignment="1">
      <alignment wrapText="1"/>
    </xf>
    <xf numFmtId="0" fontId="14" fillId="40" borderId="3" xfId="0" applyFont="1" applyFill="1" applyBorder="1" applyAlignment="1">
      <alignment wrapText="1"/>
    </xf>
    <xf numFmtId="164" fontId="29" fillId="0" borderId="3" xfId="49" applyNumberFormat="1" applyFont="1" applyFill="1" applyBorder="1"/>
    <xf numFmtId="174" fontId="15" fillId="0" borderId="3" xfId="13" applyNumberFormat="1" applyFont="1" applyFill="1" applyBorder="1" applyAlignment="1">
      <alignment wrapText="1"/>
    </xf>
    <xf numFmtId="0" fontId="14" fillId="40" borderId="3" xfId="0" applyFont="1" applyFill="1" applyBorder="1" applyAlignment="1">
      <alignment horizontal="right" wrapText="1"/>
    </xf>
    <xf numFmtId="164" fontId="14" fillId="40" borderId="3" xfId="0" applyNumberFormat="1" applyFont="1" applyFill="1" applyBorder="1" applyAlignment="1">
      <alignment wrapText="1"/>
    </xf>
    <xf numFmtId="37" fontId="15" fillId="0" borderId="0" xfId="13" applyNumberFormat="1" applyFont="1" applyFill="1" applyBorder="1" applyAlignment="1">
      <alignment horizontal="right" wrapText="1" indent="1"/>
    </xf>
    <xf numFmtId="164" fontId="29" fillId="0" borderId="3" xfId="49" applyNumberFormat="1" applyFont="1" applyFill="1" applyBorder="1" applyAlignment="1">
      <alignment wrapText="1"/>
    </xf>
    <xf numFmtId="0" fontId="15" fillId="0" borderId="13" xfId="0" applyFont="1" applyFill="1" applyBorder="1" applyAlignment="1">
      <alignment wrapText="1"/>
    </xf>
    <xf numFmtId="164" fontId="29" fillId="0" borderId="3" xfId="73" applyNumberFormat="1" applyFont="1" applyFill="1" applyBorder="1" applyAlignment="1">
      <alignment wrapText="1"/>
    </xf>
    <xf numFmtId="175" fontId="0" fillId="0" borderId="3" xfId="0" applyNumberFormat="1" applyBorder="1" applyAlignment="1">
      <alignment wrapText="1"/>
    </xf>
    <xf numFmtId="0" fontId="15" fillId="0" borderId="0" xfId="0" applyFont="1" applyFill="1" applyBorder="1" applyAlignment="1"/>
    <xf numFmtId="168" fontId="20" fillId="0" borderId="3" xfId="35" applyFont="1" applyBorder="1"/>
    <xf numFmtId="0" fontId="15" fillId="0" borderId="16" xfId="72" applyFont="1" applyFill="1" applyBorder="1" applyAlignment="1">
      <alignment wrapText="1"/>
    </xf>
    <xf numFmtId="0" fontId="15" fillId="0" borderId="17" xfId="0" applyNumberFormat="1" applyFont="1" applyFill="1" applyBorder="1"/>
    <xf numFmtId="0" fontId="5" fillId="0" borderId="1" xfId="72" applyFont="1" applyFill="1" applyBorder="1" applyAlignment="1">
      <alignment wrapText="1"/>
    </xf>
    <xf numFmtId="2" fontId="15" fillId="0" borderId="3" xfId="0" applyNumberFormat="1" applyFont="1" applyFill="1" applyBorder="1"/>
    <xf numFmtId="0" fontId="25" fillId="40" borderId="11" xfId="12" applyFill="1" applyBorder="1" applyAlignment="1" applyProtection="1"/>
    <xf numFmtId="0" fontId="26" fillId="0" borderId="0" xfId="0" applyFont="1" applyAlignment="1">
      <alignment horizontal="right"/>
    </xf>
    <xf numFmtId="0" fontId="15" fillId="0" borderId="0" xfId="0" applyFont="1" applyFill="1" applyBorder="1" applyAlignment="1">
      <alignment horizontal="left" wrapText="1"/>
    </xf>
    <xf numFmtId="164" fontId="14" fillId="21" borderId="3" xfId="0" applyNumberFormat="1" applyFont="1" applyFill="1" applyBorder="1"/>
    <xf numFmtId="0" fontId="14" fillId="21" borderId="3" xfId="0" applyFont="1" applyFill="1" applyBorder="1" applyAlignment="1">
      <alignment horizontal="right"/>
    </xf>
    <xf numFmtId="164" fontId="15" fillId="0" borderId="3" xfId="20" applyNumberFormat="1" applyFont="1" applyFill="1" applyBorder="1"/>
    <xf numFmtId="164" fontId="15" fillId="0" borderId="3" xfId="20" applyFont="1" applyFill="1" applyBorder="1"/>
    <xf numFmtId="0" fontId="14" fillId="21" borderId="3" xfId="0" applyFont="1" applyFill="1" applyBorder="1"/>
    <xf numFmtId="164" fontId="15" fillId="0" borderId="0" xfId="0" applyNumberFormat="1" applyFont="1" applyFill="1" applyBorder="1"/>
    <xf numFmtId="0" fontId="15" fillId="0" borderId="0" xfId="0" applyFont="1" applyFill="1" applyBorder="1" applyAlignment="1">
      <alignment horizontal="right"/>
    </xf>
    <xf numFmtId="37" fontId="15" fillId="0" borderId="3" xfId="20" applyNumberFormat="1" applyFont="1" applyFill="1" applyBorder="1"/>
    <xf numFmtId="164" fontId="20" fillId="0" borderId="3" xfId="20" applyFont="1" applyBorder="1" applyAlignment="1">
      <alignment horizontal="left"/>
    </xf>
    <xf numFmtId="164" fontId="20" fillId="0" borderId="16" xfId="20" applyFont="1" applyBorder="1"/>
    <xf numFmtId="0" fontId="5" fillId="0" borderId="18" xfId="72" applyFont="1" applyFill="1" applyBorder="1" applyAlignment="1">
      <alignment wrapText="1"/>
    </xf>
    <xf numFmtId="2" fontId="15" fillId="0" borderId="3" xfId="20" applyNumberFormat="1" applyFont="1" applyFill="1" applyBorder="1"/>
    <xf numFmtId="165" fontId="15" fillId="0" borderId="3" xfId="13" applyNumberFormat="1" applyFont="1" applyFill="1" applyBorder="1"/>
    <xf numFmtId="176" fontId="15" fillId="0" borderId="3" xfId="20" applyNumberFormat="1" applyFont="1" applyFill="1" applyBorder="1"/>
    <xf numFmtId="0" fontId="31" fillId="0" borderId="0" xfId="0" applyFont="1" applyFill="1" applyBorder="1"/>
    <xf numFmtId="0" fontId="14" fillId="21" borderId="11" xfId="0" applyFont="1" applyFill="1" applyBorder="1"/>
    <xf numFmtId="164" fontId="15" fillId="0" borderId="0" xfId="20" applyNumberFormat="1" applyFont="1" applyFill="1" applyBorder="1"/>
    <xf numFmtId="164" fontId="14" fillId="22" borderId="3" xfId="0" applyNumberFormat="1" applyFont="1" applyFill="1" applyBorder="1"/>
    <xf numFmtId="0" fontId="14" fillId="22" borderId="3" xfId="0" applyFont="1" applyFill="1" applyBorder="1" applyAlignment="1">
      <alignment horizontal="right"/>
    </xf>
    <xf numFmtId="1" fontId="15" fillId="0" borderId="3" xfId="13" applyNumberFormat="1" applyFont="1" applyFill="1" applyBorder="1"/>
    <xf numFmtId="177" fontId="15" fillId="0" borderId="3" xfId="13" applyNumberFormat="1" applyFont="1" applyFill="1" applyBorder="1"/>
    <xf numFmtId="0" fontId="14" fillId="22" borderId="3" xfId="0" applyFont="1" applyFill="1" applyBorder="1"/>
    <xf numFmtId="0" fontId="14" fillId="22" borderId="11" xfId="0" applyFont="1" applyFill="1" applyBorder="1"/>
    <xf numFmtId="0" fontId="14" fillId="22" borderId="11" xfId="0" applyFont="1" applyFill="1" applyBorder="1" applyAlignment="1">
      <alignment horizontal="left"/>
    </xf>
    <xf numFmtId="0" fontId="14" fillId="22" borderId="14" xfId="0" applyFont="1" applyFill="1" applyBorder="1" applyAlignment="1">
      <alignment horizontal="right"/>
    </xf>
    <xf numFmtId="0" fontId="25" fillId="22" borderId="11" xfId="12" applyFill="1" applyBorder="1" applyAlignment="1" applyProtection="1"/>
    <xf numFmtId="178" fontId="15" fillId="0" borderId="3" xfId="0" applyNumberFormat="1" applyFont="1" applyFill="1" applyBorder="1"/>
    <xf numFmtId="0" fontId="14" fillId="21" borderId="14" xfId="0" applyFont="1" applyFill="1" applyBorder="1" applyAlignment="1">
      <alignment horizontal="right"/>
    </xf>
    <xf numFmtId="0" fontId="5" fillId="0" borderId="19" xfId="72" applyFont="1" applyFill="1" applyBorder="1" applyAlignment="1">
      <alignment wrapText="1"/>
    </xf>
    <xf numFmtId="0" fontId="5" fillId="0" borderId="20" xfId="72" applyFont="1" applyFill="1" applyBorder="1" applyAlignment="1">
      <alignment wrapText="1"/>
    </xf>
    <xf numFmtId="0" fontId="5" fillId="0" borderId="21" xfId="72" applyFont="1" applyFill="1" applyBorder="1" applyAlignment="1">
      <alignment wrapText="1"/>
    </xf>
    <xf numFmtId="0" fontId="14" fillId="0" borderId="3" xfId="0" applyFont="1" applyFill="1" applyBorder="1"/>
    <xf numFmtId="0" fontId="15" fillId="0" borderId="0" xfId="0" applyNumberFormat="1" applyFont="1" applyFill="1" applyBorder="1"/>
    <xf numFmtId="164" fontId="15" fillId="0" borderId="0" xfId="20" applyFont="1" applyFill="1" applyBorder="1"/>
    <xf numFmtId="2" fontId="14" fillId="21" borderId="3" xfId="0" applyNumberFormat="1" applyFont="1" applyFill="1" applyBorder="1"/>
    <xf numFmtId="173" fontId="21" fillId="0" borderId="31" xfId="74">
      <alignment vertical="center" wrapText="1"/>
    </xf>
    <xf numFmtId="173" fontId="21" fillId="0" borderId="3" xfId="74" applyBorder="1">
      <alignment vertical="center" wrapText="1"/>
    </xf>
    <xf numFmtId="11" fontId="15" fillId="0" borderId="3" xfId="13" applyNumberFormat="1" applyFont="1" applyFill="1" applyBorder="1" applyAlignment="1">
      <alignment horizontal="right"/>
    </xf>
    <xf numFmtId="0" fontId="0" fillId="0" borderId="16" xfId="0" applyBorder="1"/>
    <xf numFmtId="0" fontId="14" fillId="0" borderId="0" xfId="0" applyFont="1" applyFill="1" applyBorder="1" applyAlignment="1">
      <alignment horizontal="right"/>
    </xf>
    <xf numFmtId="164" fontId="14" fillId="0" borderId="0" xfId="0" applyNumberFormat="1" applyFont="1" applyFill="1" applyBorder="1"/>
    <xf numFmtId="179" fontId="15" fillId="0" borderId="3" xfId="13" applyNumberFormat="1" applyFont="1" applyFill="1" applyBorder="1"/>
    <xf numFmtId="164" fontId="15" fillId="0" borderId="3" xfId="20" applyFont="1" applyFill="1" applyBorder="1" applyAlignment="1">
      <alignment wrapText="1"/>
    </xf>
    <xf numFmtId="164" fontId="15" fillId="0" borderId="3" xfId="20" applyNumberFormat="1" applyFont="1" applyFill="1" applyBorder="1" applyAlignment="1">
      <alignment wrapText="1"/>
    </xf>
    <xf numFmtId="164" fontId="15" fillId="0" borderId="0" xfId="20" applyNumberFormat="1" applyFont="1" applyFill="1" applyBorder="1" applyAlignment="1">
      <alignment wrapText="1"/>
    </xf>
    <xf numFmtId="1" fontId="15" fillId="0" borderId="3" xfId="13" applyNumberFormat="1" applyFont="1" applyFill="1" applyBorder="1" applyAlignment="1">
      <alignment wrapText="1"/>
    </xf>
    <xf numFmtId="180" fontId="5" fillId="0" borderId="3" xfId="24" applyNumberFormat="1" applyFont="1" applyFill="1" applyBorder="1" applyAlignment="1">
      <alignment horizontal="right" wrapText="1"/>
    </xf>
    <xf numFmtId="181" fontId="15" fillId="0" borderId="3" xfId="0" applyNumberFormat="1" applyFont="1" applyFill="1" applyBorder="1"/>
    <xf numFmtId="164" fontId="20" fillId="0" borderId="3" xfId="24" applyFont="1" applyBorder="1"/>
    <xf numFmtId="0" fontId="14" fillId="22" borderId="11" xfId="0" applyFont="1" applyFill="1" applyBorder="1" applyAlignment="1">
      <alignment wrapText="1"/>
    </xf>
    <xf numFmtId="0" fontId="14" fillId="22" borderId="11" xfId="0" applyFont="1" applyFill="1" applyBorder="1" applyAlignment="1">
      <alignment horizontal="left" wrapText="1"/>
    </xf>
    <xf numFmtId="0" fontId="14" fillId="22" borderId="3" xfId="0" applyFont="1" applyFill="1" applyBorder="1" applyAlignment="1">
      <alignment wrapText="1"/>
    </xf>
    <xf numFmtId="0" fontId="14" fillId="22" borderId="3" xfId="0" applyFont="1" applyFill="1" applyBorder="1" applyAlignment="1">
      <alignment horizontal="right" wrapText="1"/>
    </xf>
    <xf numFmtId="164" fontId="14" fillId="22" borderId="3" xfId="0" applyNumberFormat="1" applyFont="1" applyFill="1" applyBorder="1" applyAlignment="1">
      <alignment wrapText="1"/>
    </xf>
    <xf numFmtId="0" fontId="14" fillId="22" borderId="14" xfId="0" applyFont="1" applyFill="1" applyBorder="1" applyAlignment="1">
      <alignment horizontal="right" wrapText="1"/>
    </xf>
    <xf numFmtId="164" fontId="14" fillId="22" borderId="14" xfId="0" applyNumberFormat="1" applyFont="1" applyFill="1" applyBorder="1" applyAlignment="1">
      <alignment wrapText="1"/>
    </xf>
    <xf numFmtId="0" fontId="15" fillId="0" borderId="22" xfId="0" applyFont="1" applyFill="1" applyBorder="1"/>
    <xf numFmtId="164" fontId="29" fillId="0" borderId="19" xfId="6" applyFont="1" applyFill="1" applyBorder="1">
      <alignment vertical="center" wrapText="1"/>
    </xf>
    <xf numFmtId="0" fontId="5" fillId="0" borderId="16" xfId="72" applyFont="1" applyFill="1" applyBorder="1" applyAlignment="1">
      <alignment wrapText="1"/>
    </xf>
    <xf numFmtId="20" fontId="15" fillId="0" borderId="0" xfId="0" applyNumberFormat="1" applyFont="1" applyFill="1" applyBorder="1"/>
    <xf numFmtId="182" fontId="15" fillId="0" borderId="3" xfId="13" applyNumberFormat="1" applyFont="1" applyFill="1" applyBorder="1"/>
    <xf numFmtId="0" fontId="15" fillId="0" borderId="3" xfId="0" applyFont="1" applyFill="1" applyBorder="1" applyAlignment="1" applyProtection="1">
      <alignment horizontal="left" wrapText="1"/>
    </xf>
    <xf numFmtId="164" fontId="20" fillId="0" borderId="15" xfId="20" applyFont="1" applyBorder="1"/>
    <xf numFmtId="164" fontId="8" fillId="22" borderId="3" xfId="19" applyNumberFormat="1" applyFont="1" applyFill="1" applyBorder="1" applyAlignment="1" applyProtection="1">
      <alignment horizontal="center"/>
    </xf>
    <xf numFmtId="1" fontId="15" fillId="0" borderId="3" xfId="13" applyNumberFormat="1" applyFont="1" applyFill="1" applyBorder="1" applyAlignment="1"/>
    <xf numFmtId="164" fontId="15" fillId="0" borderId="3" xfId="20" applyNumberFormat="1" applyFont="1" applyFill="1" applyBorder="1" applyAlignment="1"/>
    <xf numFmtId="172" fontId="15" fillId="0" borderId="3" xfId="0" applyNumberFormat="1" applyFont="1" applyFill="1" applyBorder="1"/>
    <xf numFmtId="164" fontId="20" fillId="0" borderId="23" xfId="20" applyFont="1" applyBorder="1"/>
    <xf numFmtId="173" fontId="15" fillId="0" borderId="3" xfId="74" applyFont="1" applyBorder="1">
      <alignment vertical="center" wrapText="1"/>
    </xf>
    <xf numFmtId="0" fontId="15" fillId="0" borderId="33" xfId="0" applyFont="1" applyFill="1" applyBorder="1" applyAlignment="1" applyProtection="1">
      <alignment vertical="center" wrapText="1"/>
    </xf>
    <xf numFmtId="37" fontId="8" fillId="4" borderId="3" xfId="50" applyNumberFormat="1" applyFont="1" applyFill="1" applyBorder="1" applyAlignment="1" applyProtection="1">
      <alignment horizontal="center"/>
      <protection locked="0"/>
    </xf>
    <xf numFmtId="164" fontId="8" fillId="21" borderId="3" xfId="19" applyNumberFormat="1" applyFont="1" applyFill="1" applyBorder="1" applyAlignment="1" applyProtection="1">
      <alignment horizontal="center"/>
    </xf>
    <xf numFmtId="37" fontId="8" fillId="4" borderId="3" xfId="50" applyNumberFormat="1" applyFont="1" applyFill="1" applyBorder="1" applyAlignment="1" applyProtection="1">
      <alignment horizontal="center"/>
    </xf>
    <xf numFmtId="0" fontId="8" fillId="4" borderId="3" xfId="50" applyFont="1" applyFill="1" applyBorder="1" applyAlignment="1" applyProtection="1">
      <alignment horizontal="center"/>
    </xf>
    <xf numFmtId="0" fontId="14" fillId="22" borderId="11" xfId="0" applyFont="1" applyFill="1" applyBorder="1" applyAlignment="1"/>
    <xf numFmtId="0" fontId="14" fillId="23" borderId="11" xfId="0" applyFont="1" applyFill="1" applyBorder="1"/>
    <xf numFmtId="0" fontId="14" fillId="23" borderId="3" xfId="0" applyFont="1" applyFill="1" applyBorder="1"/>
    <xf numFmtId="164" fontId="15" fillId="0" borderId="3" xfId="24" quotePrefix="1" applyFont="1" applyFill="1" applyBorder="1"/>
    <xf numFmtId="0" fontId="14" fillId="23" borderId="3" xfId="0" applyFont="1" applyFill="1" applyBorder="1" applyAlignment="1">
      <alignment horizontal="right"/>
    </xf>
    <xf numFmtId="164" fontId="14" fillId="23" borderId="3" xfId="0" applyNumberFormat="1" applyFont="1" applyFill="1" applyBorder="1"/>
    <xf numFmtId="173" fontId="21" fillId="0" borderId="33" xfId="74" applyBorder="1">
      <alignment vertical="center" wrapText="1"/>
    </xf>
    <xf numFmtId="175" fontId="15" fillId="0" borderId="3" xfId="0" applyNumberFormat="1" applyFont="1" applyFill="1" applyBorder="1" applyAlignment="1">
      <alignment wrapText="1"/>
    </xf>
    <xf numFmtId="164" fontId="20" fillId="0" borderId="21" xfId="20" applyFont="1" applyBorder="1" applyAlignment="1">
      <alignment wrapText="1"/>
    </xf>
    <xf numFmtId="164" fontId="20" fillId="0" borderId="1" xfId="20" applyFont="1" applyBorder="1"/>
    <xf numFmtId="0" fontId="15" fillId="0" borderId="3" xfId="24" applyNumberFormat="1" applyFont="1" applyFill="1" applyBorder="1" applyAlignment="1">
      <alignment wrapText="1"/>
    </xf>
    <xf numFmtId="164" fontId="20" fillId="0" borderId="21" xfId="24" applyFont="1" applyBorder="1"/>
    <xf numFmtId="183" fontId="15" fillId="0" borderId="3" xfId="13" applyNumberFormat="1" applyFont="1" applyFill="1" applyBorder="1"/>
    <xf numFmtId="0" fontId="15" fillId="0" borderId="15" xfId="0" applyNumberFormat="1" applyFont="1" applyFill="1" applyBorder="1" applyAlignment="1">
      <alignment wrapText="1"/>
    </xf>
    <xf numFmtId="0" fontId="15" fillId="0" borderId="17" xfId="0" applyFont="1" applyFill="1" applyBorder="1"/>
    <xf numFmtId="0" fontId="15" fillId="0" borderId="15" xfId="0" applyNumberFormat="1" applyFont="1" applyFill="1" applyBorder="1"/>
    <xf numFmtId="1" fontId="15" fillId="0" borderId="3" xfId="0" applyNumberFormat="1" applyFont="1" applyFill="1" applyBorder="1" applyAlignment="1">
      <alignment horizontal="right" indent="1"/>
    </xf>
    <xf numFmtId="1" fontId="15" fillId="0" borderId="3" xfId="13" applyNumberFormat="1" applyFont="1" applyFill="1" applyBorder="1" applyAlignment="1">
      <alignment horizontal="right" indent="1"/>
    </xf>
    <xf numFmtId="172" fontId="15" fillId="0" borderId="3" xfId="13" applyNumberFormat="1" applyFont="1" applyFill="1" applyBorder="1" applyAlignment="1">
      <alignment horizontal="right" indent="1"/>
    </xf>
    <xf numFmtId="0" fontId="15" fillId="0" borderId="3" xfId="0" applyFont="1" applyFill="1" applyBorder="1" applyAlignment="1">
      <alignment horizontal="right" indent="1"/>
    </xf>
    <xf numFmtId="0" fontId="15" fillId="0" borderId="3" xfId="0" applyNumberFormat="1" applyFont="1" applyFill="1" applyBorder="1" applyAlignment="1"/>
    <xf numFmtId="0" fontId="15" fillId="0" borderId="3" xfId="13" applyNumberFormat="1" applyFont="1" applyFill="1" applyBorder="1" applyAlignment="1">
      <alignment horizontal="right"/>
    </xf>
    <xf numFmtId="0" fontId="0" fillId="0" borderId="3" xfId="0" applyBorder="1" applyAlignment="1">
      <alignment horizontal="right" indent="1"/>
    </xf>
    <xf numFmtId="2" fontId="15" fillId="0" borderId="3" xfId="13" applyNumberFormat="1" applyFont="1" applyFill="1" applyBorder="1"/>
    <xf numFmtId="0" fontId="15" fillId="0" borderId="21" xfId="72" applyFont="1" applyFill="1" applyBorder="1" applyAlignment="1">
      <alignment wrapText="1"/>
    </xf>
    <xf numFmtId="2" fontId="15" fillId="0" borderId="3" xfId="20" applyNumberFormat="1" applyFont="1" applyFill="1" applyBorder="1" applyAlignment="1">
      <alignment wrapText="1"/>
    </xf>
    <xf numFmtId="184" fontId="15" fillId="0" borderId="3" xfId="0" applyNumberFormat="1" applyFont="1" applyFill="1" applyBorder="1"/>
    <xf numFmtId="0" fontId="15" fillId="0" borderId="3" xfId="0" applyFont="1" applyFill="1" applyBorder="1" applyAlignment="1">
      <alignment horizontal="right"/>
    </xf>
    <xf numFmtId="0" fontId="14" fillId="21" borderId="11" xfId="0" applyFont="1" applyFill="1" applyBorder="1" applyAlignment="1"/>
    <xf numFmtId="0" fontId="15" fillId="0" borderId="0" xfId="0" quotePrefix="1" applyNumberFormat="1" applyFont="1" applyFill="1" applyBorder="1" applyAlignment="1">
      <alignment horizontal="right"/>
    </xf>
    <xf numFmtId="164" fontId="15" fillId="0" borderId="0" xfId="20" applyNumberFormat="1" applyFont="1" applyFill="1" applyBorder="1" applyAlignment="1"/>
    <xf numFmtId="37" fontId="15" fillId="0" borderId="0" xfId="13" applyNumberFormat="1" applyFont="1" applyFill="1" applyBorder="1" applyAlignment="1"/>
    <xf numFmtId="0" fontId="14" fillId="21" borderId="3" xfId="0" applyFont="1" applyFill="1" applyBorder="1" applyAlignment="1"/>
    <xf numFmtId="2" fontId="15" fillId="0" borderId="3" xfId="0" applyNumberFormat="1" applyFont="1" applyFill="1" applyBorder="1" applyAlignment="1"/>
    <xf numFmtId="2" fontId="15" fillId="0" borderId="0" xfId="0" applyNumberFormat="1" applyFont="1" applyFill="1" applyBorder="1" applyAlignment="1"/>
    <xf numFmtId="164" fontId="14" fillId="21" borderId="3" xfId="0" applyNumberFormat="1" applyFont="1" applyFill="1" applyBorder="1" applyAlignment="1"/>
    <xf numFmtId="171" fontId="15" fillId="0" borderId="3" xfId="13" applyNumberFormat="1" applyFont="1" applyFill="1" applyBorder="1" applyAlignment="1"/>
    <xf numFmtId="0" fontId="15" fillId="0" borderId="3" xfId="13" applyNumberFormat="1" applyFont="1" applyFill="1" applyBorder="1" applyAlignment="1"/>
    <xf numFmtId="0" fontId="14" fillId="0" borderId="0" xfId="0" applyFont="1" applyFill="1" applyBorder="1" applyAlignment="1"/>
    <xf numFmtId="0" fontId="15" fillId="0" borderId="0" xfId="0" applyNumberFormat="1" applyFont="1" applyFill="1" applyBorder="1" applyAlignment="1"/>
    <xf numFmtId="164" fontId="15" fillId="0" borderId="0" xfId="20" applyFont="1" applyFill="1" applyBorder="1" applyAlignment="1"/>
    <xf numFmtId="164" fontId="14" fillId="0" borderId="0" xfId="0" applyNumberFormat="1" applyFont="1" applyFill="1" applyBorder="1" applyAlignment="1"/>
    <xf numFmtId="164" fontId="15" fillId="0" borderId="3" xfId="0" applyNumberFormat="1" applyFont="1" applyFill="1" applyBorder="1" applyAlignment="1"/>
    <xf numFmtId="39" fontId="15" fillId="0" borderId="3" xfId="20" applyNumberFormat="1" applyFont="1" applyFill="1" applyBorder="1" applyAlignment="1"/>
    <xf numFmtId="37" fontId="15" fillId="0" borderId="3" xfId="20" applyNumberFormat="1" applyFont="1" applyFill="1" applyBorder="1" applyAlignment="1"/>
    <xf numFmtId="173" fontId="21" fillId="0" borderId="3" xfId="74" applyBorder="1" applyAlignment="1">
      <alignment wrapText="1"/>
    </xf>
    <xf numFmtId="0" fontId="15" fillId="0" borderId="34" xfId="0" applyFont="1" applyFill="1" applyBorder="1" applyAlignment="1" applyProtection="1">
      <alignment wrapText="1"/>
    </xf>
    <xf numFmtId="173" fontId="21" fillId="0" borderId="3" xfId="74" applyFill="1" applyBorder="1" applyAlignment="1">
      <alignment wrapText="1"/>
    </xf>
    <xf numFmtId="0" fontId="15" fillId="0" borderId="14" xfId="0" applyFont="1" applyFill="1" applyBorder="1" applyAlignment="1"/>
    <xf numFmtId="164" fontId="15" fillId="0" borderId="14" xfId="20" applyFont="1" applyFill="1" applyBorder="1" applyAlignment="1"/>
    <xf numFmtId="39" fontId="15" fillId="0" borderId="14" xfId="20" applyNumberFormat="1" applyFont="1" applyFill="1" applyBorder="1" applyAlignment="1"/>
    <xf numFmtId="173" fontId="21" fillId="0" borderId="31" xfId="74" applyAlignment="1">
      <alignment wrapText="1"/>
    </xf>
    <xf numFmtId="164" fontId="29" fillId="0" borderId="3" xfId="73" applyNumberFormat="1" applyFont="1" applyFill="1" applyBorder="1" applyAlignment="1"/>
    <xf numFmtId="164" fontId="15" fillId="0" borderId="0" xfId="0" applyNumberFormat="1" applyFont="1" applyFill="1" applyBorder="1" applyAlignment="1"/>
    <xf numFmtId="0" fontId="0" fillId="0" borderId="3" xfId="0" applyFill="1" applyBorder="1" applyAlignment="1"/>
    <xf numFmtId="2" fontId="14" fillId="21" borderId="3" xfId="0" applyNumberFormat="1" applyFont="1" applyFill="1" applyBorder="1" applyAlignment="1"/>
    <xf numFmtId="0" fontId="14" fillId="22" borderId="3" xfId="0" applyFont="1" applyFill="1" applyBorder="1" applyAlignment="1"/>
    <xf numFmtId="0" fontId="15" fillId="0" borderId="0" xfId="0" applyFont="1" applyFill="1" applyBorder="1" applyAlignment="1" applyProtection="1">
      <alignment wrapText="1"/>
    </xf>
    <xf numFmtId="2" fontId="15" fillId="0" borderId="3" xfId="20" applyNumberFormat="1" applyFont="1" applyFill="1" applyBorder="1" applyAlignment="1"/>
    <xf numFmtId="164" fontId="14" fillId="22" borderId="3" xfId="0" applyNumberFormat="1" applyFont="1" applyFill="1" applyBorder="1" applyAlignment="1"/>
    <xf numFmtId="185" fontId="15" fillId="0" borderId="0" xfId="0" applyNumberFormat="1" applyFont="1" applyFill="1" applyBorder="1" applyAlignment="1"/>
    <xf numFmtId="167" fontId="15" fillId="0" borderId="3" xfId="20" applyNumberFormat="1" applyFont="1" applyFill="1" applyBorder="1" applyAlignment="1"/>
    <xf numFmtId="0" fontId="15" fillId="0" borderId="0" xfId="0" applyFont="1" applyAlignment="1"/>
    <xf numFmtId="175" fontId="15" fillId="0" borderId="3" xfId="0" applyNumberFormat="1" applyFont="1" applyFill="1" applyBorder="1" applyAlignment="1"/>
    <xf numFmtId="175" fontId="15" fillId="0" borderId="0" xfId="0" applyNumberFormat="1" applyFont="1" applyFill="1" applyBorder="1" applyAlignment="1"/>
    <xf numFmtId="184" fontId="15" fillId="0" borderId="3" xfId="0" applyNumberFormat="1" applyFont="1" applyFill="1" applyBorder="1" applyAlignment="1"/>
    <xf numFmtId="0" fontId="15" fillId="0" borderId="3" xfId="0" applyFont="1" applyBorder="1" applyAlignment="1">
      <alignment wrapText="1"/>
    </xf>
    <xf numFmtId="0" fontId="15" fillId="0" borderId="0" xfId="0" applyFont="1" applyAlignment="1">
      <alignment wrapText="1"/>
    </xf>
    <xf numFmtId="0" fontId="31" fillId="0" borderId="0" xfId="0" applyFont="1" applyFill="1" applyBorder="1" applyAlignment="1"/>
    <xf numFmtId="164" fontId="15" fillId="0" borderId="3" xfId="20" applyFont="1" applyFill="1" applyBorder="1" applyAlignment="1">
      <alignment horizontal="center"/>
    </xf>
    <xf numFmtId="184" fontId="15" fillId="0" borderId="3" xfId="0" applyNumberFormat="1" applyFont="1" applyFill="1" applyBorder="1" applyAlignment="1">
      <alignment horizontal="right"/>
    </xf>
    <xf numFmtId="165" fontId="15" fillId="0" borderId="3" xfId="13" applyFont="1" applyFill="1" applyBorder="1" applyAlignment="1">
      <alignment horizontal="left"/>
    </xf>
    <xf numFmtId="11" fontId="15" fillId="0" borderId="3" xfId="0" applyNumberFormat="1" applyFont="1" applyFill="1" applyBorder="1" applyAlignment="1">
      <alignment horizontal="center" wrapText="1"/>
    </xf>
    <xf numFmtId="11" fontId="15" fillId="0" borderId="3" xfId="13" applyNumberFormat="1" applyFont="1" applyFill="1" applyBorder="1" applyAlignment="1">
      <alignment horizontal="center"/>
    </xf>
    <xf numFmtId="170" fontId="15" fillId="0" borderId="3" xfId="13" applyNumberFormat="1" applyFont="1" applyFill="1" applyBorder="1" applyAlignment="1">
      <alignment horizontal="center"/>
    </xf>
    <xf numFmtId="165" fontId="15" fillId="0" borderId="3" xfId="13" applyFont="1" applyFill="1" applyBorder="1" applyAlignment="1">
      <alignment horizontal="center"/>
    </xf>
    <xf numFmtId="164" fontId="15" fillId="0" borderId="3" xfId="20" applyNumberFormat="1" applyFont="1" applyFill="1" applyBorder="1" applyAlignment="1">
      <alignment horizontal="center"/>
    </xf>
    <xf numFmtId="0" fontId="15" fillId="0" borderId="0" xfId="0" applyFont="1" applyFill="1" applyBorder="1" applyAlignment="1">
      <alignment horizontal="center"/>
    </xf>
    <xf numFmtId="165" fontId="15" fillId="0" borderId="3" xfId="13" applyNumberFormat="1" applyFont="1" applyFill="1" applyBorder="1" applyAlignment="1"/>
    <xf numFmtId="164" fontId="14" fillId="22" borderId="14" xfId="0" applyNumberFormat="1" applyFont="1" applyFill="1" applyBorder="1" applyAlignment="1"/>
    <xf numFmtId="0" fontId="5" fillId="0" borderId="24" xfId="72" applyFont="1" applyFill="1" applyBorder="1" applyAlignment="1">
      <alignment wrapText="1"/>
    </xf>
    <xf numFmtId="0" fontId="5" fillId="0" borderId="22" xfId="72" applyFont="1" applyFill="1" applyBorder="1" applyAlignment="1">
      <alignment wrapText="1"/>
    </xf>
    <xf numFmtId="0" fontId="14" fillId="21" borderId="11" xfId="0" applyFont="1" applyFill="1" applyBorder="1" applyAlignment="1">
      <alignment horizontal="left" vertical="center" wrapText="1"/>
    </xf>
    <xf numFmtId="0" fontId="15" fillId="0" borderId="0" xfId="0" applyFont="1" applyFill="1" applyBorder="1" applyAlignment="1">
      <alignment horizontal="left" vertical="center" wrapText="1"/>
    </xf>
    <xf numFmtId="0" fontId="15" fillId="0" borderId="0" xfId="0" applyFont="1" applyFill="1" applyBorder="1" applyAlignment="1">
      <alignment horizontal="center" vertical="center" wrapText="1"/>
    </xf>
    <xf numFmtId="0" fontId="15" fillId="0" borderId="0" xfId="0" quotePrefix="1" applyFont="1" applyFill="1" applyBorder="1" applyAlignment="1">
      <alignment horizontal="right" vertical="center" wrapText="1"/>
    </xf>
    <xf numFmtId="0" fontId="14" fillId="21" borderId="0" xfId="0" applyFont="1" applyFill="1" applyBorder="1" applyAlignment="1">
      <alignment horizontal="left" vertical="center" wrapText="1"/>
    </xf>
    <xf numFmtId="164" fontId="15" fillId="0" borderId="0" xfId="35" applyNumberFormat="1" applyFont="1" applyFill="1" applyBorder="1" applyAlignment="1">
      <alignment horizontal="center" vertical="center" wrapText="1"/>
    </xf>
    <xf numFmtId="37" fontId="15" fillId="0" borderId="0" xfId="17" applyNumberFormat="1" applyFont="1" applyFill="1" applyBorder="1" applyAlignment="1">
      <alignment horizontal="right" vertical="center" wrapText="1" indent="1"/>
    </xf>
    <xf numFmtId="0" fontId="14" fillId="21" borderId="3" xfId="0" applyFont="1" applyFill="1" applyBorder="1" applyAlignment="1">
      <alignment horizontal="left" vertical="center" wrapText="1"/>
    </xf>
    <xf numFmtId="0" fontId="0" fillId="0" borderId="0" xfId="0" applyAlignment="1">
      <alignment horizontal="left"/>
    </xf>
    <xf numFmtId="0" fontId="15" fillId="0" borderId="3" xfId="0" applyFont="1" applyFill="1" applyBorder="1" applyAlignment="1">
      <alignment horizontal="right" vertical="center" wrapText="1"/>
    </xf>
    <xf numFmtId="0" fontId="15" fillId="0" borderId="3" xfId="0" applyFont="1" applyFill="1" applyBorder="1" applyAlignment="1">
      <alignment horizontal="left" vertical="center" wrapText="1"/>
    </xf>
    <xf numFmtId="169" fontId="15" fillId="0" borderId="3" xfId="35" applyNumberFormat="1" applyFont="1" applyFill="1" applyBorder="1" applyAlignment="1">
      <alignment horizontal="right" vertical="center" wrapText="1" indent="1"/>
    </xf>
    <xf numFmtId="0" fontId="15" fillId="0" borderId="3" xfId="0" applyNumberFormat="1" applyFont="1" applyFill="1" applyBorder="1" applyAlignment="1">
      <alignment horizontal="right" vertical="center" wrapText="1" indent="1"/>
    </xf>
    <xf numFmtId="164" fontId="15" fillId="0" borderId="3" xfId="35" applyNumberFormat="1" applyFont="1" applyFill="1" applyBorder="1" applyAlignment="1">
      <alignment horizontal="center" vertical="center" wrapText="1"/>
    </xf>
    <xf numFmtId="164" fontId="15" fillId="0" borderId="0" xfId="0" applyNumberFormat="1" applyFont="1" applyFill="1" applyBorder="1" applyAlignment="1">
      <alignment horizontal="center" vertical="center" wrapText="1"/>
    </xf>
    <xf numFmtId="0" fontId="14" fillId="21" borderId="3" xfId="0" applyFont="1" applyFill="1" applyBorder="1" applyAlignment="1">
      <alignment horizontal="center" vertical="center" wrapText="1"/>
    </xf>
    <xf numFmtId="164" fontId="14" fillId="21" borderId="3" xfId="0" applyNumberFormat="1" applyFont="1" applyFill="1" applyBorder="1" applyAlignment="1">
      <alignment horizontal="left" vertical="center" wrapText="1"/>
    </xf>
    <xf numFmtId="0" fontId="15" fillId="0" borderId="0" xfId="0" applyFont="1" applyFill="1" applyBorder="1" applyAlignment="1" applyProtection="1">
      <alignment horizontal="left" wrapText="1"/>
    </xf>
    <xf numFmtId="0" fontId="15" fillId="0" borderId="3" xfId="0" applyFont="1" applyFill="1" applyBorder="1" applyAlignment="1">
      <alignment horizontal="left" wrapText="1"/>
    </xf>
    <xf numFmtId="169" fontId="15" fillId="0" borderId="3" xfId="35" applyNumberFormat="1" applyFont="1" applyFill="1" applyBorder="1" applyAlignment="1">
      <alignment horizontal="center" wrapText="1"/>
    </xf>
    <xf numFmtId="0" fontId="15" fillId="0" borderId="3" xfId="0" applyFont="1" applyFill="1" applyBorder="1" applyAlignment="1">
      <alignment horizontal="right" wrapText="1" indent="1"/>
    </xf>
    <xf numFmtId="0" fontId="15" fillId="0" borderId="3" xfId="0" applyFont="1" applyFill="1" applyBorder="1" applyAlignment="1">
      <alignment horizontal="left" wrapText="1" indent="1"/>
    </xf>
    <xf numFmtId="175" fontId="15" fillId="0" borderId="3" xfId="17" applyFont="1" applyFill="1" applyBorder="1" applyAlignment="1">
      <alignment horizontal="left" wrapText="1" indent="1"/>
    </xf>
    <xf numFmtId="171" fontId="15" fillId="0" borderId="3" xfId="17" applyNumberFormat="1" applyFont="1" applyFill="1" applyBorder="1" applyAlignment="1">
      <alignment horizontal="center" wrapText="1"/>
    </xf>
    <xf numFmtId="175" fontId="15" fillId="0" borderId="3" xfId="17" applyFont="1" applyFill="1" applyBorder="1" applyAlignment="1">
      <alignment horizontal="center" wrapText="1"/>
    </xf>
    <xf numFmtId="164" fontId="15" fillId="0" borderId="3" xfId="35" applyNumberFormat="1" applyFont="1" applyFill="1" applyBorder="1" applyAlignment="1">
      <alignment horizontal="center" wrapText="1"/>
    </xf>
    <xf numFmtId="2" fontId="15" fillId="0" borderId="3" xfId="35" applyNumberFormat="1" applyFont="1" applyFill="1" applyBorder="1" applyAlignment="1">
      <alignment horizontal="center" wrapText="1"/>
    </xf>
    <xf numFmtId="11" fontId="15" fillId="0" borderId="3" xfId="17" applyNumberFormat="1" applyFont="1" applyFill="1" applyBorder="1" applyAlignment="1">
      <alignment horizontal="center" wrapText="1"/>
    </xf>
    <xf numFmtId="0" fontId="14" fillId="0" borderId="0" xfId="0" applyFont="1" applyFill="1" applyBorder="1" applyAlignment="1">
      <alignment horizontal="center" vertical="center" wrapText="1"/>
    </xf>
    <xf numFmtId="0" fontId="14" fillId="21" borderId="3" xfId="0" applyFont="1" applyFill="1" applyBorder="1" applyAlignment="1">
      <alignment horizontal="right" vertical="center" wrapText="1"/>
    </xf>
    <xf numFmtId="164" fontId="0" fillId="0" borderId="0" xfId="0" applyNumberFormat="1"/>
    <xf numFmtId="0" fontId="14" fillId="0" borderId="0" xfId="0" applyFont="1" applyFill="1" applyBorder="1" applyAlignment="1">
      <alignment horizontal="left" vertical="center" wrapText="1"/>
    </xf>
    <xf numFmtId="0" fontId="15" fillId="0" borderId="3" xfId="0" applyNumberFormat="1" applyFont="1" applyFill="1" applyBorder="1" applyAlignment="1">
      <alignment horizontal="left" wrapText="1"/>
    </xf>
    <xf numFmtId="0" fontId="15" fillId="0" borderId="3" xfId="0" applyFont="1" applyFill="1" applyBorder="1" applyAlignment="1">
      <alignment horizontal="center" wrapText="1"/>
    </xf>
    <xf numFmtId="169" fontId="15" fillId="0" borderId="3" xfId="35" applyNumberFormat="1" applyFont="1" applyFill="1" applyBorder="1" applyAlignment="1">
      <alignment horizontal="left" wrapText="1"/>
    </xf>
    <xf numFmtId="0" fontId="5" fillId="0" borderId="3" xfId="72" applyFont="1" applyFill="1" applyBorder="1" applyAlignment="1">
      <alignment horizontal="left" wrapText="1"/>
    </xf>
    <xf numFmtId="0" fontId="15" fillId="0" borderId="3" xfId="0" applyNumberFormat="1" applyFont="1" applyFill="1" applyBorder="1" applyAlignment="1">
      <alignment horizontal="left" vertical="center" wrapText="1"/>
    </xf>
    <xf numFmtId="184" fontId="15" fillId="0" borderId="3" xfId="0" applyNumberFormat="1" applyFont="1" applyFill="1" applyBorder="1" applyAlignment="1">
      <alignment horizontal="right" wrapText="1" indent="1"/>
    </xf>
    <xf numFmtId="0" fontId="5" fillId="0" borderId="20" xfId="72" applyFont="1" applyFill="1" applyBorder="1" applyAlignment="1">
      <alignment horizontal="left" wrapText="1"/>
    </xf>
    <xf numFmtId="0" fontId="15" fillId="0" borderId="3" xfId="0" applyNumberFormat="1" applyFont="1" applyFill="1" applyBorder="1" applyAlignment="1">
      <alignment horizontal="left" vertical="center"/>
    </xf>
    <xf numFmtId="169" fontId="15" fillId="0" borderId="3" xfId="35" applyNumberFormat="1" applyFont="1" applyFill="1" applyBorder="1" applyAlignment="1">
      <alignment horizontal="center" vertical="center" wrapText="1"/>
    </xf>
    <xf numFmtId="0" fontId="15" fillId="0" borderId="3" xfId="0" applyFont="1" applyFill="1" applyBorder="1" applyAlignment="1">
      <alignment horizontal="left" vertical="center" wrapText="1" indent="1"/>
    </xf>
    <xf numFmtId="0" fontId="15" fillId="0" borderId="3" xfId="0" applyFont="1" applyFill="1" applyBorder="1" applyAlignment="1">
      <alignment horizontal="right" vertical="center" wrapText="1" indent="1"/>
    </xf>
    <xf numFmtId="0" fontId="15" fillId="0" borderId="3" xfId="0" applyFont="1" applyFill="1" applyBorder="1" applyAlignment="1">
      <alignment horizontal="center" vertical="center" wrapText="1"/>
    </xf>
    <xf numFmtId="169" fontId="15" fillId="0" borderId="3" xfId="35" applyNumberFormat="1" applyFont="1" applyFill="1" applyBorder="1" applyAlignment="1">
      <alignment horizontal="left" vertical="center" wrapText="1"/>
    </xf>
    <xf numFmtId="169" fontId="14" fillId="21" borderId="3" xfId="0" applyNumberFormat="1" applyFont="1" applyFill="1" applyBorder="1" applyAlignment="1">
      <alignment horizontal="left" vertical="center" wrapText="1"/>
    </xf>
    <xf numFmtId="0" fontId="0" fillId="0" borderId="0" xfId="0" applyAlignment="1">
      <alignment horizontal="center" vertical="center" wrapText="1"/>
    </xf>
    <xf numFmtId="169" fontId="15" fillId="0" borderId="3" xfId="0" applyNumberFormat="1" applyFont="1" applyFill="1" applyBorder="1" applyAlignment="1">
      <alignment horizontal="center" wrapText="1"/>
    </xf>
    <xf numFmtId="39" fontId="15" fillId="0" borderId="3" xfId="35" applyNumberFormat="1" applyFont="1" applyFill="1" applyBorder="1" applyAlignment="1">
      <alignment horizontal="left" wrapText="1" indent="1"/>
    </xf>
    <xf numFmtId="0" fontId="15" fillId="0" borderId="3" xfId="0" applyNumberFormat="1" applyFont="1" applyFill="1" applyBorder="1" applyAlignment="1">
      <alignment horizontal="left" wrapText="1" indent="1"/>
    </xf>
    <xf numFmtId="37" fontId="15" fillId="0" borderId="3" xfId="35" applyNumberFormat="1" applyFont="1" applyFill="1" applyBorder="1" applyAlignment="1">
      <alignment horizontal="right" wrapText="1" indent="1"/>
    </xf>
    <xf numFmtId="173" fontId="21" fillId="0" borderId="3" xfId="74" applyBorder="1" applyAlignment="1">
      <alignment horizontal="left" wrapText="1"/>
    </xf>
    <xf numFmtId="0" fontId="15" fillId="0" borderId="3" xfId="0" applyFont="1" applyFill="1" applyBorder="1" applyAlignment="1">
      <alignment horizontal="left" vertical="center"/>
    </xf>
    <xf numFmtId="2" fontId="15" fillId="0" borderId="0" xfId="0" applyNumberFormat="1" applyFont="1" applyFill="1" applyBorder="1" applyAlignment="1">
      <alignment horizontal="left" wrapText="1"/>
    </xf>
    <xf numFmtId="0" fontId="14" fillId="22" borderId="3" xfId="0" applyFont="1" applyFill="1" applyBorder="1" applyAlignment="1">
      <alignment horizontal="left"/>
    </xf>
    <xf numFmtId="0" fontId="14" fillId="22" borderId="3" xfId="0" applyFont="1" applyFill="1" applyBorder="1" applyAlignment="1">
      <alignment horizontal="left" vertical="center" wrapText="1"/>
    </xf>
    <xf numFmtId="1" fontId="15" fillId="0" borderId="3" xfId="0" applyNumberFormat="1" applyFont="1" applyFill="1" applyBorder="1" applyAlignment="1">
      <alignment horizontal="right" wrapText="1" indent="1"/>
    </xf>
    <xf numFmtId="2" fontId="15" fillId="0" borderId="3" xfId="17" applyNumberFormat="1" applyFont="1" applyFill="1" applyBorder="1" applyAlignment="1">
      <alignment horizontal="center" wrapText="1"/>
    </xf>
    <xf numFmtId="0" fontId="14" fillId="0" borderId="0" xfId="0" applyFont="1" applyFill="1" applyBorder="1" applyAlignment="1">
      <alignment horizontal="left"/>
    </xf>
    <xf numFmtId="164" fontId="14" fillId="22" borderId="3" xfId="0" applyNumberFormat="1" applyFont="1" applyFill="1" applyBorder="1" applyAlignment="1">
      <alignment horizontal="left" vertical="center" wrapText="1"/>
    </xf>
    <xf numFmtId="169" fontId="14" fillId="22" borderId="3" xfId="0" applyNumberFormat="1" applyFont="1" applyFill="1" applyBorder="1" applyAlignment="1">
      <alignment horizontal="left" vertical="center" wrapText="1"/>
    </xf>
    <xf numFmtId="164" fontId="15" fillId="0" borderId="0" xfId="0" applyNumberFormat="1" applyFont="1" applyFill="1" applyBorder="1" applyAlignment="1">
      <alignment horizontal="left" vertical="center" wrapText="1"/>
    </xf>
    <xf numFmtId="164" fontId="15" fillId="0" borderId="0" xfId="0" applyNumberFormat="1" applyFont="1" applyFill="1" applyBorder="1" applyAlignment="1">
      <alignment horizontal="left"/>
    </xf>
    <xf numFmtId="0" fontId="15" fillId="0" borderId="0" xfId="0" applyFont="1" applyFill="1" applyBorder="1" applyAlignment="1">
      <alignment horizontal="center" wrapText="1"/>
    </xf>
    <xf numFmtId="0" fontId="15" fillId="0" borderId="3" xfId="17" applyNumberFormat="1" applyFont="1" applyFill="1" applyBorder="1" applyAlignment="1">
      <alignment horizontal="right" wrapText="1" indent="1"/>
    </xf>
    <xf numFmtId="164" fontId="14" fillId="22" borderId="3" xfId="0" applyNumberFormat="1" applyFont="1" applyFill="1" applyBorder="1" applyAlignment="1">
      <alignment vertical="center" wrapText="1"/>
    </xf>
    <xf numFmtId="183" fontId="15" fillId="0" borderId="3" xfId="17" applyNumberFormat="1" applyFont="1" applyFill="1" applyBorder="1" applyAlignment="1">
      <alignment horizontal="center" wrapText="1"/>
    </xf>
    <xf numFmtId="0" fontId="14" fillId="22" borderId="3" xfId="0" applyFont="1" applyFill="1" applyBorder="1" applyAlignment="1">
      <alignment horizontal="left" wrapText="1"/>
    </xf>
    <xf numFmtId="0" fontId="15" fillId="0" borderId="3" xfId="0" applyFont="1" applyFill="1" applyBorder="1" applyAlignment="1">
      <alignment horizontal="right" wrapText="1"/>
    </xf>
    <xf numFmtId="1" fontId="15" fillId="0" borderId="3" xfId="0" applyNumberFormat="1" applyFont="1" applyFill="1" applyBorder="1" applyAlignment="1">
      <alignment horizontal="right" wrapText="1"/>
    </xf>
    <xf numFmtId="175" fontId="15" fillId="0" borderId="3" xfId="17" applyFont="1" applyFill="1" applyBorder="1" applyAlignment="1">
      <alignment horizontal="left" wrapText="1"/>
    </xf>
    <xf numFmtId="182" fontId="15" fillId="0" borderId="3" xfId="17" applyNumberFormat="1" applyFont="1" applyFill="1" applyBorder="1" applyAlignment="1">
      <alignment horizontal="center" wrapText="1"/>
    </xf>
    <xf numFmtId="186" fontId="15" fillId="0" borderId="3" xfId="17" applyNumberFormat="1" applyFont="1" applyFill="1" applyBorder="1" applyAlignment="1">
      <alignment horizontal="center" wrapText="1"/>
    </xf>
    <xf numFmtId="177" fontId="15" fillId="0" borderId="3" xfId="17" applyNumberFormat="1" applyFont="1" applyFill="1" applyBorder="1" applyAlignment="1">
      <alignment horizontal="center" wrapText="1"/>
    </xf>
    <xf numFmtId="2" fontId="15" fillId="0" borderId="3" xfId="17" applyNumberFormat="1" applyFont="1" applyFill="1" applyBorder="1" applyAlignment="1">
      <alignment horizontal="right" wrapText="1" indent="1"/>
    </xf>
    <xf numFmtId="172" fontId="15" fillId="0" borderId="3" xfId="0" applyNumberFormat="1" applyFont="1" applyFill="1" applyBorder="1" applyAlignment="1">
      <alignment horizontal="right" wrapText="1" indent="1"/>
    </xf>
    <xf numFmtId="172" fontId="15" fillId="0" borderId="3" xfId="0" applyNumberFormat="1" applyFont="1" applyFill="1" applyBorder="1" applyAlignment="1">
      <alignment horizontal="center" wrapText="1"/>
    </xf>
    <xf numFmtId="0" fontId="14" fillId="21" borderId="14" xfId="0" applyFont="1" applyFill="1" applyBorder="1" applyAlignment="1">
      <alignment horizontal="center" vertical="center" wrapText="1"/>
    </xf>
    <xf numFmtId="2" fontId="15" fillId="0" borderId="3" xfId="0" applyNumberFormat="1" applyFont="1" applyFill="1" applyBorder="1" applyAlignment="1">
      <alignment horizontal="right" wrapText="1" indent="1"/>
    </xf>
    <xf numFmtId="0" fontId="0" fillId="15" borderId="0" xfId="0" applyFont="1" applyFill="1"/>
    <xf numFmtId="0" fontId="14" fillId="0" borderId="0" xfId="0" applyFont="1" applyFill="1" applyBorder="1" applyAlignment="1">
      <alignment horizontal="right" wrapText="1"/>
    </xf>
    <xf numFmtId="0" fontId="25" fillId="22" borderId="11" xfId="12" applyFill="1" applyBorder="1" applyAlignment="1" applyProtection="1">
      <alignment horizontal="left" wrapText="1"/>
    </xf>
    <xf numFmtId="172" fontId="15" fillId="0" borderId="3" xfId="0" applyNumberFormat="1" applyFont="1" applyFill="1" applyBorder="1" applyAlignment="1">
      <alignment horizontal="right" wrapText="1"/>
    </xf>
    <xf numFmtId="0" fontId="0" fillId="15" borderId="0" xfId="0" applyFill="1" applyAlignment="1">
      <alignment wrapText="1"/>
    </xf>
    <xf numFmtId="0" fontId="15" fillId="0" borderId="3" xfId="0" applyNumberFormat="1" applyFont="1" applyFill="1" applyBorder="1" applyAlignment="1">
      <alignment horizontal="left"/>
    </xf>
    <xf numFmtId="169" fontId="15" fillId="0" borderId="3" xfId="35" applyNumberFormat="1" applyFont="1" applyFill="1" applyBorder="1" applyAlignment="1">
      <alignment horizontal="center"/>
    </xf>
    <xf numFmtId="0" fontId="15" fillId="0" borderId="3" xfId="0" applyFont="1" applyFill="1" applyBorder="1" applyAlignment="1">
      <alignment horizontal="center"/>
    </xf>
    <xf numFmtId="169" fontId="15" fillId="0" borderId="3" xfId="35" applyNumberFormat="1" applyFont="1" applyFill="1" applyBorder="1" applyAlignment="1">
      <alignment horizontal="left"/>
    </xf>
    <xf numFmtId="0" fontId="15" fillId="0" borderId="0" xfId="0" applyFont="1" applyFill="1" applyBorder="1" applyAlignment="1">
      <alignment horizontal="center" vertical="center"/>
    </xf>
    <xf numFmtId="1" fontId="15" fillId="0" borderId="3" xfId="0" applyNumberFormat="1" applyFont="1" applyFill="1" applyBorder="1" applyAlignment="1">
      <alignment horizontal="center" wrapText="1"/>
    </xf>
    <xf numFmtId="0" fontId="14" fillId="24" borderId="11" xfId="0" applyFont="1" applyFill="1" applyBorder="1"/>
    <xf numFmtId="0" fontId="14" fillId="24" borderId="3" xfId="0" applyFont="1" applyFill="1" applyBorder="1"/>
    <xf numFmtId="0" fontId="14" fillId="24" borderId="3" xfId="0" applyFont="1" applyFill="1" applyBorder="1" applyAlignment="1">
      <alignment horizontal="right"/>
    </xf>
    <xf numFmtId="164" fontId="14" fillId="24" borderId="3" xfId="0" applyNumberFormat="1" applyFont="1" applyFill="1" applyBorder="1"/>
    <xf numFmtId="0" fontId="14" fillId="25" borderId="11" xfId="0" applyFont="1" applyFill="1" applyBorder="1"/>
    <xf numFmtId="0" fontId="14" fillId="25" borderId="11" xfId="0" applyFont="1" applyFill="1" applyBorder="1" applyAlignment="1">
      <alignment horizontal="left"/>
    </xf>
    <xf numFmtId="0" fontId="14" fillId="25" borderId="3" xfId="0" applyFont="1" applyFill="1" applyBorder="1"/>
    <xf numFmtId="11" fontId="15" fillId="0" borderId="3" xfId="13" applyNumberFormat="1" applyFont="1" applyFill="1" applyBorder="1" applyAlignment="1">
      <alignment horizontal="left" indent="1"/>
    </xf>
    <xf numFmtId="0" fontId="14" fillId="25" borderId="3" xfId="0" applyFont="1" applyFill="1" applyBorder="1" applyAlignment="1">
      <alignment horizontal="right"/>
    </xf>
    <xf numFmtId="164" fontId="14" fillId="25" borderId="3" xfId="0" applyNumberFormat="1" applyFont="1" applyFill="1" applyBorder="1"/>
    <xf numFmtId="0" fontId="14" fillId="25" borderId="3" xfId="0" applyFont="1" applyFill="1" applyBorder="1" applyAlignment="1">
      <alignment wrapText="1"/>
    </xf>
    <xf numFmtId="0" fontId="14" fillId="25" borderId="3" xfId="0" applyFont="1" applyFill="1" applyBorder="1" applyAlignment="1">
      <alignment horizontal="right" wrapText="1"/>
    </xf>
    <xf numFmtId="3" fontId="15" fillId="0" borderId="3" xfId="0" applyNumberFormat="1" applyFont="1" applyFill="1" applyBorder="1"/>
    <xf numFmtId="164" fontId="14" fillId="25" borderId="3" xfId="0" applyNumberFormat="1" applyFont="1" applyFill="1" applyBorder="1" applyAlignment="1">
      <alignment wrapText="1"/>
    </xf>
    <xf numFmtId="0" fontId="25" fillId="25" borderId="11" xfId="12" applyFill="1" applyBorder="1" applyAlignment="1" applyProtection="1"/>
    <xf numFmtId="0" fontId="14" fillId="24" borderId="11" xfId="0" applyFont="1" applyFill="1" applyBorder="1" applyAlignment="1">
      <alignment wrapText="1"/>
    </xf>
    <xf numFmtId="175" fontId="15" fillId="0" borderId="3" xfId="0" applyNumberFormat="1" applyFont="1" applyFill="1" applyBorder="1"/>
    <xf numFmtId="0" fontId="20" fillId="0" borderId="3" xfId="20" applyNumberFormat="1" applyFont="1" applyBorder="1"/>
    <xf numFmtId="164" fontId="29" fillId="0" borderId="3" xfId="5" applyFont="1" applyFill="1" applyBorder="1">
      <alignment vertical="center" wrapText="1"/>
    </xf>
    <xf numFmtId="164" fontId="20" fillId="0" borderId="3" xfId="26" applyFont="1" applyBorder="1"/>
    <xf numFmtId="0" fontId="14" fillId="25" borderId="11" xfId="0" applyFont="1" applyFill="1" applyBorder="1" applyAlignment="1"/>
    <xf numFmtId="0" fontId="14" fillId="25" borderId="3" xfId="0" applyFont="1" applyFill="1" applyBorder="1" applyAlignment="1"/>
    <xf numFmtId="164" fontId="14" fillId="25" borderId="3" xfId="0" applyNumberFormat="1" applyFont="1" applyFill="1" applyBorder="1" applyAlignment="1"/>
    <xf numFmtId="164" fontId="14" fillId="25" borderId="3" xfId="0" applyNumberFormat="1" applyFont="1" applyFill="1" applyBorder="1" applyAlignment="1">
      <alignment horizontal="left"/>
    </xf>
    <xf numFmtId="0" fontId="5" fillId="0" borderId="3" xfId="72" applyFont="1" applyFill="1" applyBorder="1" applyAlignment="1">
      <alignment horizontal="center" wrapText="1"/>
    </xf>
    <xf numFmtId="184" fontId="15" fillId="0" borderId="3" xfId="0" applyNumberFormat="1" applyFont="1" applyFill="1" applyBorder="1" applyAlignment="1">
      <alignment wrapText="1"/>
    </xf>
    <xf numFmtId="0" fontId="15" fillId="0" borderId="4" xfId="0" applyFont="1" applyFill="1" applyBorder="1"/>
    <xf numFmtId="164" fontId="15" fillId="0" borderId="4" xfId="20" applyFont="1" applyFill="1" applyBorder="1"/>
    <xf numFmtId="0" fontId="15" fillId="0" borderId="4" xfId="0" applyNumberFormat="1" applyFont="1" applyFill="1" applyBorder="1"/>
    <xf numFmtId="164" fontId="15" fillId="0" borderId="14" xfId="20" applyFont="1" applyFill="1" applyBorder="1"/>
    <xf numFmtId="0" fontId="15" fillId="0" borderId="14" xfId="0" applyNumberFormat="1" applyFont="1" applyFill="1" applyBorder="1"/>
    <xf numFmtId="187" fontId="15" fillId="0" borderId="3" xfId="13" applyNumberFormat="1" applyFont="1" applyFill="1" applyBorder="1"/>
    <xf numFmtId="0" fontId="32" fillId="0" borderId="0" xfId="0" applyFont="1" applyFill="1" applyBorder="1"/>
    <xf numFmtId="173" fontId="21" fillId="0" borderId="3" xfId="76" applyNumberFormat="1" applyBorder="1">
      <alignment vertical="center" wrapText="1"/>
    </xf>
    <xf numFmtId="164" fontId="15" fillId="0" borderId="3" xfId="20" applyFont="1" applyFill="1" applyBorder="1" applyAlignment="1" applyProtection="1">
      <alignment vertical="center" wrapText="1"/>
    </xf>
    <xf numFmtId="164" fontId="14" fillId="24" borderId="3" xfId="20" applyNumberFormat="1" applyFont="1" applyFill="1" applyBorder="1"/>
    <xf numFmtId="0" fontId="14" fillId="25" borderId="11" xfId="0" applyFont="1" applyFill="1" applyBorder="1" applyAlignment="1">
      <alignment wrapText="1"/>
    </xf>
    <xf numFmtId="0" fontId="14" fillId="25" borderId="11" xfId="0" applyFont="1" applyFill="1" applyBorder="1" applyAlignment="1">
      <alignment horizontal="left" wrapText="1"/>
    </xf>
    <xf numFmtId="49" fontId="15" fillId="0" borderId="0" xfId="0" applyNumberFormat="1" applyFont="1" applyFill="1" applyBorder="1" applyAlignment="1">
      <alignment horizontal="left" wrapText="1"/>
    </xf>
    <xf numFmtId="0" fontId="14" fillId="25" borderId="11" xfId="0" applyFont="1" applyFill="1" applyBorder="1" applyAlignment="1">
      <alignment vertical="center" wrapText="1"/>
    </xf>
    <xf numFmtId="39" fontId="15" fillId="0" borderId="3" xfId="20" applyNumberFormat="1" applyFont="1" applyFill="1" applyBorder="1" applyAlignment="1">
      <alignment wrapText="1"/>
    </xf>
    <xf numFmtId="37" fontId="15" fillId="0" borderId="3" xfId="20" applyNumberFormat="1" applyFont="1" applyFill="1" applyBorder="1" applyAlignment="1">
      <alignment wrapText="1"/>
    </xf>
    <xf numFmtId="173" fontId="21" fillId="0" borderId="3" xfId="76" applyNumberFormat="1" applyBorder="1" applyAlignment="1">
      <alignment vertical="center" wrapText="1"/>
    </xf>
    <xf numFmtId="0" fontId="32" fillId="0" borderId="0" xfId="0" applyFont="1" applyFill="1" applyBorder="1" applyAlignment="1">
      <alignment wrapText="1"/>
    </xf>
    <xf numFmtId="174" fontId="15" fillId="0" borderId="3" xfId="13" applyNumberFormat="1" applyFont="1" applyFill="1" applyBorder="1"/>
    <xf numFmtId="43" fontId="15" fillId="0" borderId="3" xfId="0" applyNumberFormat="1" applyFont="1" applyFill="1" applyBorder="1"/>
    <xf numFmtId="0" fontId="15" fillId="0" borderId="31" xfId="0" applyFont="1" applyFill="1" applyBorder="1" applyAlignment="1" applyProtection="1">
      <alignment vertical="center" wrapText="1"/>
    </xf>
    <xf numFmtId="37" fontId="15" fillId="0" borderId="3" xfId="0" applyNumberFormat="1" applyFont="1" applyFill="1" applyBorder="1"/>
    <xf numFmtId="0" fontId="14" fillId="24" borderId="14" xfId="0" applyFont="1" applyFill="1" applyBorder="1" applyAlignment="1">
      <alignment horizontal="right"/>
    </xf>
    <xf numFmtId="0" fontId="15" fillId="0" borderId="0" xfId="0" applyNumberFormat="1" applyFont="1" applyFill="1" applyBorder="1" applyAlignment="1">
      <alignment wrapText="1"/>
    </xf>
    <xf numFmtId="173" fontId="15" fillId="0" borderId="0" xfId="0" applyNumberFormat="1" applyFont="1" applyFill="1" applyBorder="1"/>
    <xf numFmtId="164" fontId="14" fillId="24" borderId="14" xfId="0" applyNumberFormat="1" applyFont="1" applyFill="1" applyBorder="1"/>
    <xf numFmtId="182" fontId="15" fillId="0" borderId="3" xfId="13" applyNumberFormat="1" applyFont="1" applyFill="1" applyBorder="1" applyAlignment="1"/>
    <xf numFmtId="164" fontId="14" fillId="25" borderId="14" xfId="0" applyNumberFormat="1" applyFont="1" applyFill="1" applyBorder="1"/>
    <xf numFmtId="0" fontId="14" fillId="25" borderId="14" xfId="0" applyFont="1" applyFill="1" applyBorder="1" applyAlignment="1">
      <alignment horizontal="right"/>
    </xf>
    <xf numFmtId="0" fontId="15" fillId="15" borderId="3" xfId="0" applyFont="1" applyFill="1" applyBorder="1" applyAlignment="1"/>
    <xf numFmtId="0" fontId="15" fillId="15" borderId="3" xfId="0" applyFont="1" applyFill="1" applyBorder="1" applyAlignment="1">
      <alignment wrapText="1"/>
    </xf>
    <xf numFmtId="0" fontId="15" fillId="15" borderId="3" xfId="0" applyFont="1" applyFill="1" applyBorder="1"/>
    <xf numFmtId="188" fontId="15" fillId="0" borderId="3" xfId="13" applyNumberFormat="1" applyFont="1" applyFill="1" applyBorder="1"/>
    <xf numFmtId="0" fontId="15" fillId="15" borderId="0" xfId="0" applyFont="1" applyFill="1" applyBorder="1"/>
    <xf numFmtId="0" fontId="15" fillId="0" borderId="22" xfId="0" applyFont="1" applyFill="1" applyBorder="1" applyAlignment="1" applyProtection="1">
      <alignment vertical="center" wrapText="1"/>
    </xf>
    <xf numFmtId="0" fontId="14" fillId="15" borderId="3" xfId="0" applyFont="1" applyFill="1" applyBorder="1"/>
    <xf numFmtId="164" fontId="14" fillId="24" borderId="14" xfId="0" applyNumberFormat="1" applyFont="1" applyFill="1" applyBorder="1" applyAlignment="1"/>
    <xf numFmtId="173" fontId="21" fillId="0" borderId="3" xfId="75" applyNumberFormat="1" applyBorder="1" applyAlignment="1">
      <alignment wrapText="1"/>
    </xf>
    <xf numFmtId="0" fontId="14" fillId="24" borderId="3" xfId="0" applyFont="1" applyFill="1" applyBorder="1" applyAlignment="1"/>
    <xf numFmtId="0" fontId="15" fillId="0" borderId="3" xfId="0" quotePrefix="1" applyFont="1" applyFill="1" applyBorder="1" applyAlignment="1">
      <alignment horizontal="right" wrapText="1"/>
    </xf>
    <xf numFmtId="188" fontId="15" fillId="0" borderId="3" xfId="13" applyNumberFormat="1" applyFont="1" applyFill="1" applyBorder="1" applyAlignment="1"/>
    <xf numFmtId="164" fontId="20" fillId="0" borderId="0" xfId="20" applyFont="1" applyBorder="1"/>
    <xf numFmtId="0" fontId="15" fillId="0" borderId="22" xfId="0" applyFont="1" applyFill="1" applyBorder="1" applyAlignment="1" applyProtection="1">
      <alignment wrapText="1"/>
    </xf>
    <xf numFmtId="188" fontId="15" fillId="0" borderId="3" xfId="13" applyNumberFormat="1" applyFont="1" applyFill="1" applyBorder="1" applyAlignment="1">
      <alignment wrapText="1"/>
    </xf>
    <xf numFmtId="164" fontId="14" fillId="25" borderId="14" xfId="0" applyNumberFormat="1" applyFont="1" applyFill="1" applyBorder="1" applyAlignment="1"/>
    <xf numFmtId="0" fontId="25" fillId="25" borderId="11" xfId="12" applyFill="1" applyBorder="1" applyAlignment="1" applyProtection="1">
      <alignment wrapText="1"/>
    </xf>
    <xf numFmtId="0" fontId="14" fillId="24" borderId="3" xfId="0" applyFont="1" applyFill="1" applyBorder="1" applyAlignment="1">
      <alignment wrapText="1"/>
    </xf>
    <xf numFmtId="0" fontId="14" fillId="24" borderId="3" xfId="0" applyFont="1" applyFill="1" applyBorder="1" applyAlignment="1">
      <alignment horizontal="right" wrapText="1"/>
    </xf>
    <xf numFmtId="164" fontId="14" fillId="24" borderId="3" xfId="0" applyNumberFormat="1" applyFont="1" applyFill="1" applyBorder="1" applyAlignment="1">
      <alignment wrapText="1"/>
    </xf>
    <xf numFmtId="0" fontId="15" fillId="0" borderId="3" xfId="72" applyFont="1" applyFill="1" applyBorder="1" applyAlignment="1">
      <alignment wrapText="1"/>
    </xf>
    <xf numFmtId="164" fontId="29" fillId="0" borderId="3" xfId="20" applyFont="1" applyBorder="1" applyAlignment="1">
      <alignment wrapText="1"/>
    </xf>
    <xf numFmtId="164" fontId="29" fillId="0" borderId="3" xfId="20" applyFont="1" applyBorder="1"/>
    <xf numFmtId="173" fontId="21" fillId="0" borderId="3" xfId="77" applyNumberFormat="1" applyBorder="1">
      <alignment vertical="center" wrapText="1"/>
    </xf>
    <xf numFmtId="180" fontId="5" fillId="0" borderId="3" xfId="20" applyNumberFormat="1" applyFont="1" applyFill="1" applyBorder="1" applyAlignment="1">
      <alignment horizontal="right" wrapText="1"/>
    </xf>
    <xf numFmtId="0" fontId="15" fillId="0" borderId="3" xfId="20" applyNumberFormat="1" applyFont="1" applyFill="1" applyBorder="1" applyAlignment="1">
      <alignment wrapText="1"/>
    </xf>
    <xf numFmtId="164" fontId="29" fillId="0" borderId="3" xfId="6" applyFont="1" applyFill="1" applyBorder="1" applyAlignment="1">
      <alignment vertical="center" wrapText="1"/>
    </xf>
    <xf numFmtId="190" fontId="15" fillId="0" borderId="3" xfId="13" applyNumberFormat="1" applyFont="1" applyFill="1" applyBorder="1" applyAlignment="1">
      <alignment wrapText="1"/>
    </xf>
    <xf numFmtId="0" fontId="33" fillId="0" borderId="3" xfId="0" applyFont="1" applyBorder="1" applyAlignment="1">
      <alignment wrapText="1"/>
    </xf>
    <xf numFmtId="0" fontId="14" fillId="25" borderId="14" xfId="0" applyFont="1" applyFill="1" applyBorder="1" applyAlignment="1">
      <alignment horizontal="right" wrapText="1"/>
    </xf>
    <xf numFmtId="176" fontId="14" fillId="25" borderId="14" xfId="0" applyNumberFormat="1" applyFont="1" applyFill="1" applyBorder="1" applyAlignment="1">
      <alignment wrapText="1"/>
    </xf>
    <xf numFmtId="164" fontId="20" fillId="0" borderId="0" xfId="20" applyFont="1" applyBorder="1" applyAlignment="1">
      <alignment wrapText="1"/>
    </xf>
    <xf numFmtId="164" fontId="14" fillId="25" borderId="14" xfId="0" applyNumberFormat="1" applyFont="1" applyFill="1" applyBorder="1" applyAlignment="1">
      <alignment wrapText="1"/>
    </xf>
    <xf numFmtId="177" fontId="15" fillId="0" borderId="3" xfId="13" applyNumberFormat="1" applyFont="1" applyFill="1" applyBorder="1" applyAlignment="1">
      <alignment wrapText="1"/>
    </xf>
    <xf numFmtId="182" fontId="15" fillId="0" borderId="3" xfId="13" applyNumberFormat="1" applyFont="1" applyFill="1" applyBorder="1" applyAlignment="1">
      <alignment wrapText="1"/>
    </xf>
    <xf numFmtId="0" fontId="14" fillId="15" borderId="3" xfId="0" applyFont="1" applyFill="1" applyBorder="1" applyAlignment="1">
      <alignment wrapText="1"/>
    </xf>
    <xf numFmtId="176" fontId="15" fillId="0" borderId="3" xfId="20" applyNumberFormat="1" applyFont="1" applyFill="1" applyBorder="1" applyAlignment="1">
      <alignment wrapText="1"/>
    </xf>
    <xf numFmtId="0" fontId="14" fillId="26" borderId="11" xfId="0" applyFont="1" applyFill="1" applyBorder="1"/>
    <xf numFmtId="0" fontId="14" fillId="26" borderId="3" xfId="0" applyFont="1" applyFill="1" applyBorder="1"/>
    <xf numFmtId="0" fontId="14" fillId="26" borderId="3" xfId="0" applyFont="1" applyFill="1" applyBorder="1" applyAlignment="1">
      <alignment horizontal="right"/>
    </xf>
    <xf numFmtId="164" fontId="14" fillId="26" borderId="3" xfId="0" applyNumberFormat="1" applyFont="1" applyFill="1" applyBorder="1"/>
    <xf numFmtId="0" fontId="14" fillId="26" borderId="3" xfId="0" applyFont="1" applyFill="1" applyBorder="1" applyAlignment="1">
      <alignment wrapText="1"/>
    </xf>
    <xf numFmtId="0" fontId="14" fillId="26" borderId="3" xfId="0" applyFont="1" applyFill="1" applyBorder="1" applyAlignment="1">
      <alignment horizontal="right" wrapText="1"/>
    </xf>
    <xf numFmtId="169" fontId="20" fillId="0" borderId="3" xfId="20" applyNumberFormat="1" applyFont="1" applyBorder="1"/>
    <xf numFmtId="164" fontId="29" fillId="0" borderId="3" xfId="73" applyNumberFormat="1" applyFont="1" applyFill="1" applyBorder="1"/>
    <xf numFmtId="0" fontId="14" fillId="41" borderId="11" xfId="0" applyFont="1" applyFill="1" applyBorder="1"/>
    <xf numFmtId="0" fontId="14" fillId="41" borderId="11" xfId="0" applyFont="1" applyFill="1" applyBorder="1" applyAlignment="1">
      <alignment horizontal="left"/>
    </xf>
    <xf numFmtId="0" fontId="14" fillId="41" borderId="3" xfId="0" applyFont="1" applyFill="1" applyBorder="1"/>
    <xf numFmtId="0" fontId="14" fillId="41" borderId="3" xfId="0" applyFont="1" applyFill="1" applyBorder="1" applyAlignment="1">
      <alignment horizontal="right"/>
    </xf>
    <xf numFmtId="164" fontId="14" fillId="41" borderId="3" xfId="0" applyNumberFormat="1" applyFont="1" applyFill="1" applyBorder="1"/>
    <xf numFmtId="44" fontId="15" fillId="0" borderId="3" xfId="13" applyNumberFormat="1" applyFont="1" applyFill="1" applyBorder="1"/>
    <xf numFmtId="0" fontId="15" fillId="0" borderId="14" xfId="0" applyFont="1" applyFill="1" applyBorder="1"/>
    <xf numFmtId="0" fontId="14" fillId="26" borderId="14" xfId="0" applyFont="1" applyFill="1" applyBorder="1" applyAlignment="1">
      <alignment horizontal="right"/>
    </xf>
    <xf numFmtId="164" fontId="14" fillId="26" borderId="14" xfId="0" applyNumberFormat="1" applyFont="1" applyFill="1" applyBorder="1"/>
    <xf numFmtId="173" fontId="21" fillId="0" borderId="3" xfId="74" applyNumberFormat="1" applyBorder="1">
      <alignment vertical="center" wrapText="1"/>
    </xf>
    <xf numFmtId="0" fontId="15" fillId="0" borderId="3" xfId="0" applyFont="1" applyFill="1" applyBorder="1" applyAlignment="1" applyProtection="1"/>
    <xf numFmtId="2" fontId="15" fillId="0" borderId="3" xfId="0" applyNumberFormat="1" applyFont="1" applyFill="1" applyBorder="1" applyAlignment="1">
      <alignment wrapText="1"/>
    </xf>
    <xf numFmtId="0" fontId="15" fillId="0" borderId="3" xfId="0" applyFont="1" applyFill="1" applyBorder="1" applyAlignment="1" applyProtection="1">
      <alignment vertical="center"/>
    </xf>
    <xf numFmtId="0" fontId="14" fillId="41" borderId="14" xfId="0" applyFont="1" applyFill="1" applyBorder="1" applyAlignment="1">
      <alignment horizontal="right"/>
    </xf>
    <xf numFmtId="0" fontId="14" fillId="26" borderId="11" xfId="0" applyFont="1" applyFill="1" applyBorder="1" applyAlignment="1">
      <alignment wrapText="1"/>
    </xf>
    <xf numFmtId="1" fontId="15" fillId="0" borderId="3" xfId="0" applyNumberFormat="1" applyFont="1" applyFill="1" applyBorder="1" applyAlignment="1">
      <alignment wrapText="1"/>
    </xf>
    <xf numFmtId="44" fontId="15" fillId="0" borderId="3" xfId="13" applyNumberFormat="1" applyFont="1" applyFill="1" applyBorder="1" applyAlignment="1">
      <alignment wrapText="1"/>
    </xf>
    <xf numFmtId="187" fontId="15" fillId="0" borderId="3" xfId="13" applyNumberFormat="1" applyFont="1" applyFill="1" applyBorder="1" applyAlignment="1">
      <alignment wrapText="1"/>
    </xf>
    <xf numFmtId="0" fontId="15" fillId="0" borderId="3" xfId="72" applyFont="1" applyFill="1" applyBorder="1" applyAlignment="1"/>
    <xf numFmtId="0" fontId="14" fillId="26" borderId="14" xfId="0" applyFont="1" applyFill="1" applyBorder="1" applyAlignment="1">
      <alignment horizontal="right" wrapText="1"/>
    </xf>
    <xf numFmtId="164" fontId="14" fillId="26" borderId="3" xfId="0" applyNumberFormat="1" applyFont="1" applyFill="1" applyBorder="1" applyAlignment="1">
      <alignment wrapText="1"/>
    </xf>
    <xf numFmtId="0" fontId="31" fillId="0" borderId="0" xfId="0" applyFont="1" applyFill="1" applyBorder="1" applyAlignment="1" applyProtection="1">
      <alignment vertical="center" wrapText="1"/>
    </xf>
    <xf numFmtId="164" fontId="15" fillId="0" borderId="3" xfId="20" applyFont="1" applyBorder="1"/>
    <xf numFmtId="169" fontId="15" fillId="0" borderId="3" xfId="20" applyNumberFormat="1" applyFont="1" applyFill="1" applyBorder="1"/>
    <xf numFmtId="164" fontId="15" fillId="0" borderId="3" xfId="27" applyNumberFormat="1" applyFont="1" applyFill="1" applyBorder="1"/>
    <xf numFmtId="0" fontId="14" fillId="26" borderId="15" xfId="0" applyFont="1" applyFill="1" applyBorder="1"/>
    <xf numFmtId="0" fontId="14" fillId="26" borderId="17" xfId="0" applyFont="1" applyFill="1" applyBorder="1"/>
    <xf numFmtId="0" fontId="14" fillId="28" borderId="11" xfId="0" applyFont="1" applyFill="1" applyBorder="1"/>
    <xf numFmtId="0" fontId="14" fillId="28" borderId="3" xfId="0" applyFont="1" applyFill="1" applyBorder="1"/>
    <xf numFmtId="0" fontId="14" fillId="28" borderId="3" xfId="0" applyFont="1" applyFill="1" applyBorder="1" applyAlignment="1">
      <alignment horizontal="right"/>
    </xf>
    <xf numFmtId="164" fontId="14" fillId="28" borderId="14" xfId="0" applyNumberFormat="1" applyFont="1" applyFill="1" applyBorder="1"/>
    <xf numFmtId="0" fontId="14" fillId="28" borderId="14" xfId="0" applyFont="1" applyFill="1" applyBorder="1" applyAlignment="1">
      <alignment horizontal="right"/>
    </xf>
    <xf numFmtId="0" fontId="14" fillId="29" borderId="11" xfId="0" applyFont="1" applyFill="1" applyBorder="1"/>
    <xf numFmtId="0" fontId="14" fillId="29" borderId="11" xfId="0" applyFont="1" applyFill="1" applyBorder="1" applyAlignment="1">
      <alignment horizontal="left"/>
    </xf>
    <xf numFmtId="0" fontId="14" fillId="29" borderId="3" xfId="0" applyFont="1" applyFill="1" applyBorder="1"/>
    <xf numFmtId="0" fontId="14" fillId="29" borderId="3" xfId="0" applyFont="1" applyFill="1" applyBorder="1" applyAlignment="1">
      <alignment horizontal="right"/>
    </xf>
    <xf numFmtId="164" fontId="14" fillId="29" borderId="14" xfId="0" applyNumberFormat="1" applyFont="1" applyFill="1" applyBorder="1"/>
    <xf numFmtId="0" fontId="14" fillId="29" borderId="14" xfId="0" applyFont="1" applyFill="1" applyBorder="1" applyAlignment="1">
      <alignment horizontal="right"/>
    </xf>
    <xf numFmtId="164" fontId="14" fillId="29" borderId="3" xfId="0" applyNumberFormat="1" applyFont="1" applyFill="1" applyBorder="1"/>
    <xf numFmtId="0" fontId="5" fillId="0" borderId="25" xfId="72" applyFont="1" applyFill="1" applyBorder="1" applyAlignment="1">
      <alignment wrapText="1"/>
    </xf>
    <xf numFmtId="0" fontId="14" fillId="15" borderId="0" xfId="0" applyFont="1" applyFill="1" applyBorder="1"/>
    <xf numFmtId="0" fontId="25" fillId="29" borderId="11" xfId="12" applyFill="1" applyBorder="1" applyAlignment="1" applyProtection="1"/>
    <xf numFmtId="164" fontId="14" fillId="28" borderId="3" xfId="0" applyNumberFormat="1" applyFont="1" applyFill="1" applyBorder="1"/>
    <xf numFmtId="164" fontId="29" fillId="0" borderId="3" xfId="73" applyNumberFormat="1" applyFont="1" applyFill="1" applyBorder="1" applyAlignment="1" applyProtection="1">
      <alignment vertical="center" wrapText="1"/>
    </xf>
    <xf numFmtId="176" fontId="29" fillId="0" borderId="0" xfId="6" applyNumberFormat="1" applyFont="1" applyFill="1" applyBorder="1">
      <alignment vertical="center" wrapText="1"/>
    </xf>
    <xf numFmtId="164" fontId="29" fillId="0" borderId="3" xfId="49" applyNumberFormat="1" applyFont="1" applyFill="1" applyBorder="1" applyAlignment="1" applyProtection="1">
      <alignment vertical="center" wrapText="1"/>
    </xf>
    <xf numFmtId="164" fontId="29" fillId="0" borderId="3" xfId="49" applyNumberFormat="1" applyFont="1" applyFill="1" applyBorder="1" applyAlignment="1" applyProtection="1">
      <alignment wrapText="1"/>
    </xf>
    <xf numFmtId="179" fontId="15" fillId="0" borderId="3" xfId="13" applyNumberFormat="1" applyFont="1" applyFill="1" applyBorder="1" applyAlignment="1"/>
    <xf numFmtId="175" fontId="15" fillId="0" borderId="0" xfId="0" applyNumberFormat="1" applyFont="1" applyFill="1" applyBorder="1"/>
    <xf numFmtId="0" fontId="14" fillId="29" borderId="3" xfId="0" applyFont="1" applyFill="1" applyBorder="1" applyAlignment="1">
      <alignment wrapText="1"/>
    </xf>
    <xf numFmtId="0" fontId="14" fillId="29" borderId="3" xfId="0" applyFont="1" applyFill="1" applyBorder="1" applyAlignment="1">
      <alignment horizontal="right" wrapText="1"/>
    </xf>
    <xf numFmtId="164" fontId="14" fillId="29" borderId="3" xfId="0" applyNumberFormat="1" applyFont="1" applyFill="1" applyBorder="1" applyAlignment="1">
      <alignment wrapText="1"/>
    </xf>
    <xf numFmtId="0" fontId="20" fillId="0" borderId="3" xfId="20" applyNumberFormat="1" applyFont="1" applyBorder="1" applyAlignment="1">
      <alignment wrapText="1"/>
    </xf>
    <xf numFmtId="173" fontId="21" fillId="0" borderId="3" xfId="78" applyNumberFormat="1" applyBorder="1">
      <alignment vertical="center" wrapText="1"/>
    </xf>
    <xf numFmtId="0" fontId="29" fillId="0" borderId="3" xfId="0" applyFont="1" applyBorder="1"/>
    <xf numFmtId="0" fontId="14" fillId="28" borderId="4" xfId="0" applyFont="1" applyFill="1" applyBorder="1"/>
    <xf numFmtId="164" fontId="29" fillId="0" borderId="3" xfId="7" applyNumberFormat="1" applyFont="1" applyFill="1" applyBorder="1">
      <alignment vertical="center" wrapText="1"/>
    </xf>
    <xf numFmtId="0" fontId="14" fillId="29" borderId="4" xfId="0" applyFont="1" applyFill="1" applyBorder="1"/>
    <xf numFmtId="165" fontId="15" fillId="0" borderId="0" xfId="13" applyFont="1" applyFill="1" applyBorder="1"/>
    <xf numFmtId="187" fontId="15" fillId="0" borderId="0" xfId="13" applyNumberFormat="1" applyFont="1" applyFill="1" applyBorder="1"/>
    <xf numFmtId="11" fontId="15" fillId="0" borderId="0" xfId="13" applyNumberFormat="1" applyFont="1" applyFill="1" applyBorder="1"/>
    <xf numFmtId="11" fontId="15" fillId="0" borderId="0" xfId="0" applyNumberFormat="1" applyFont="1" applyFill="1" applyBorder="1" applyAlignment="1">
      <alignment wrapText="1"/>
    </xf>
    <xf numFmtId="164" fontId="29" fillId="0" borderId="0" xfId="49" applyNumberFormat="1" applyFont="1" applyFill="1" applyBorder="1"/>
    <xf numFmtId="0" fontId="14" fillId="30" borderId="11" xfId="0" applyFont="1" applyFill="1" applyBorder="1"/>
    <xf numFmtId="0" fontId="14" fillId="30" borderId="3" xfId="0" applyFont="1" applyFill="1" applyBorder="1"/>
    <xf numFmtId="0" fontId="14" fillId="30" borderId="14" xfId="0" applyFont="1" applyFill="1" applyBorder="1" applyAlignment="1">
      <alignment horizontal="right"/>
    </xf>
    <xf numFmtId="164" fontId="14" fillId="30" borderId="14" xfId="0" applyNumberFormat="1" applyFont="1" applyFill="1" applyBorder="1"/>
    <xf numFmtId="164" fontId="20" fillId="0" borderId="3" xfId="20" applyFont="1" applyFill="1" applyBorder="1"/>
    <xf numFmtId="164" fontId="20" fillId="0" borderId="3" xfId="44" applyFont="1" applyBorder="1"/>
    <xf numFmtId="164" fontId="29" fillId="0" borderId="0" xfId="49" applyNumberFormat="1" applyFont="1" applyFill="1" applyBorder="1" applyAlignment="1" applyProtection="1">
      <alignment vertical="center" wrapText="1"/>
    </xf>
    <xf numFmtId="11" fontId="15" fillId="0" borderId="0" xfId="0" applyNumberFormat="1" applyFont="1" applyFill="1" applyBorder="1"/>
    <xf numFmtId="171" fontId="15" fillId="0" borderId="0" xfId="13" applyNumberFormat="1" applyFont="1" applyFill="1" applyBorder="1"/>
    <xf numFmtId="170" fontId="15" fillId="0" borderId="0" xfId="13" applyNumberFormat="1" applyFont="1" applyFill="1" applyBorder="1"/>
    <xf numFmtId="164" fontId="14" fillId="30" borderId="3" xfId="0" applyNumberFormat="1" applyFont="1" applyFill="1" applyBorder="1"/>
    <xf numFmtId="164" fontId="15" fillId="0" borderId="3" xfId="20" applyFont="1" applyFill="1" applyBorder="1" applyAlignment="1" applyProtection="1">
      <alignment horizontal="right" vertical="center" wrapText="1"/>
    </xf>
    <xf numFmtId="173" fontId="21" fillId="0" borderId="3" xfId="74" applyFont="1" applyFill="1" applyBorder="1">
      <alignment vertical="center" wrapText="1"/>
    </xf>
    <xf numFmtId="0" fontId="29" fillId="0" borderId="4" xfId="0" applyFont="1" applyBorder="1"/>
    <xf numFmtId="0" fontId="29" fillId="0" borderId="26" xfId="0" applyFont="1" applyBorder="1"/>
    <xf numFmtId="164" fontId="15" fillId="0" borderId="4" xfId="24" applyFont="1" applyFill="1" applyBorder="1"/>
    <xf numFmtId="164" fontId="15" fillId="0" borderId="4" xfId="24" applyNumberFormat="1" applyFont="1" applyFill="1" applyBorder="1"/>
    <xf numFmtId="0" fontId="29" fillId="0" borderId="3" xfId="0" applyFont="1" applyBorder="1" applyAlignment="1">
      <alignment wrapText="1"/>
    </xf>
    <xf numFmtId="0" fontId="14" fillId="32" borderId="11" xfId="0" applyFont="1" applyFill="1" applyBorder="1"/>
    <xf numFmtId="0" fontId="14" fillId="32" borderId="11" xfId="0" applyFont="1" applyFill="1" applyBorder="1" applyAlignment="1">
      <alignment horizontal="left"/>
    </xf>
    <xf numFmtId="0" fontId="14" fillId="32" borderId="3" xfId="0" applyFont="1" applyFill="1" applyBorder="1"/>
    <xf numFmtId="0" fontId="14" fillId="32" borderId="14" xfId="0" applyFont="1" applyFill="1" applyBorder="1" applyAlignment="1">
      <alignment horizontal="right"/>
    </xf>
    <xf numFmtId="164" fontId="14" fillId="32" borderId="14" xfId="0" applyNumberFormat="1" applyFont="1" applyFill="1" applyBorder="1"/>
    <xf numFmtId="0" fontId="14" fillId="32" borderId="3" xfId="0" applyFont="1" applyFill="1" applyBorder="1" applyAlignment="1">
      <alignment horizontal="right"/>
    </xf>
    <xf numFmtId="164" fontId="14" fillId="32" borderId="3" xfId="0" applyNumberFormat="1" applyFont="1" applyFill="1" applyBorder="1"/>
    <xf numFmtId="165" fontId="29" fillId="0" borderId="3" xfId="0" applyNumberFormat="1" applyFont="1" applyBorder="1"/>
    <xf numFmtId="11" fontId="29" fillId="0" borderId="3" xfId="0" applyNumberFormat="1" applyFont="1" applyBorder="1" applyAlignment="1">
      <alignment wrapText="1"/>
    </xf>
    <xf numFmtId="11" fontId="29" fillId="0" borderId="3" xfId="0" applyNumberFormat="1" applyFont="1" applyBorder="1"/>
    <xf numFmtId="174" fontId="29" fillId="0" borderId="3" xfId="0" applyNumberFormat="1" applyFont="1" applyBorder="1"/>
    <xf numFmtId="164" fontId="20" fillId="0" borderId="19" xfId="20" applyFont="1" applyBorder="1"/>
    <xf numFmtId="0" fontId="34" fillId="42" borderId="35" xfId="0" applyFont="1" applyFill="1" applyBorder="1"/>
    <xf numFmtId="0" fontId="29" fillId="0" borderId="0" xfId="0" applyFont="1"/>
    <xf numFmtId="0" fontId="34" fillId="42" borderId="35" xfId="0" applyFont="1" applyFill="1" applyBorder="1" applyAlignment="1">
      <alignment horizontal="left"/>
    </xf>
    <xf numFmtId="0" fontId="29" fillId="0" borderId="0" xfId="0" applyFont="1" applyAlignment="1">
      <alignment horizontal="right"/>
    </xf>
    <xf numFmtId="164" fontId="29" fillId="0" borderId="0" xfId="0" applyNumberFormat="1" applyFont="1"/>
    <xf numFmtId="0" fontId="34" fillId="42" borderId="36" xfId="0" applyFont="1" applyFill="1" applyBorder="1"/>
    <xf numFmtId="37" fontId="29" fillId="0" borderId="0" xfId="0" applyNumberFormat="1" applyFont="1"/>
    <xf numFmtId="0" fontId="29" fillId="0" borderId="0" xfId="0" applyFont="1" applyAlignment="1">
      <alignment horizontal="left"/>
    </xf>
    <xf numFmtId="0" fontId="34" fillId="42" borderId="3" xfId="0" applyFont="1" applyFill="1" applyBorder="1"/>
    <xf numFmtId="0" fontId="34" fillId="42" borderId="17" xfId="0" applyFont="1" applyFill="1" applyBorder="1"/>
    <xf numFmtId="171" fontId="29" fillId="0" borderId="3" xfId="0" applyNumberFormat="1" applyFont="1" applyBorder="1"/>
    <xf numFmtId="164" fontId="29" fillId="0" borderId="3" xfId="0" applyNumberFormat="1" applyFont="1" applyBorder="1"/>
    <xf numFmtId="2" fontId="29" fillId="0" borderId="3" xfId="0" applyNumberFormat="1" applyFont="1" applyBorder="1"/>
    <xf numFmtId="0" fontId="34" fillId="0" borderId="0" xfId="0" applyFont="1"/>
    <xf numFmtId="0" fontId="34" fillId="42" borderId="14" xfId="0" applyFont="1" applyFill="1" applyBorder="1" applyAlignment="1">
      <alignment horizontal="right"/>
    </xf>
    <xf numFmtId="164" fontId="34" fillId="42" borderId="27" xfId="0" applyNumberFormat="1" applyFont="1" applyFill="1" applyBorder="1"/>
    <xf numFmtId="0" fontId="5" fillId="0" borderId="1" xfId="72" applyFont="1" applyFill="1" applyBorder="1" applyAlignment="1"/>
    <xf numFmtId="164" fontId="20" fillId="0" borderId="1" xfId="44" applyFont="1" applyBorder="1"/>
    <xf numFmtId="0" fontId="14" fillId="32" borderId="3" xfId="0" applyFont="1" applyFill="1" applyBorder="1" applyAlignment="1">
      <alignment wrapText="1"/>
    </xf>
    <xf numFmtId="0" fontId="25" fillId="32" borderId="11" xfId="12" applyFill="1" applyBorder="1" applyAlignment="1" applyProtection="1"/>
    <xf numFmtId="0" fontId="14" fillId="30" borderId="3" xfId="0" applyFont="1" applyFill="1" applyBorder="1" applyAlignment="1">
      <alignment horizontal="right"/>
    </xf>
    <xf numFmtId="164" fontId="29" fillId="0" borderId="3" xfId="4" applyFont="1" applyFill="1" applyBorder="1">
      <alignment vertical="center" wrapText="1"/>
    </xf>
    <xf numFmtId="164" fontId="14" fillId="30" borderId="28" xfId="0" applyNumberFormat="1" applyFont="1" applyFill="1" applyBorder="1"/>
    <xf numFmtId="0" fontId="14" fillId="0" borderId="29" xfId="0" applyFont="1" applyFill="1" applyBorder="1"/>
    <xf numFmtId="0" fontId="5" fillId="0" borderId="0" xfId="72" applyFont="1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169" fontId="15" fillId="0" borderId="0" xfId="20" applyNumberFormat="1" applyFont="1" applyFill="1" applyBorder="1" applyAlignment="1">
      <alignment horizontal="center" vertical="center" wrapText="1"/>
    </xf>
    <xf numFmtId="164" fontId="29" fillId="0" borderId="3" xfId="0" applyNumberFormat="1" applyFont="1" applyBorder="1" applyAlignment="1">
      <alignment vertical="center" wrapText="1"/>
    </xf>
    <xf numFmtId="0" fontId="29" fillId="0" borderId="14" xfId="0" applyFont="1" applyBorder="1"/>
    <xf numFmtId="0" fontId="29" fillId="0" borderId="27" xfId="0" applyFont="1" applyBorder="1"/>
    <xf numFmtId="0" fontId="29" fillId="0" borderId="14" xfId="0" applyFont="1" applyBorder="1" applyAlignment="1">
      <alignment wrapText="1"/>
    </xf>
    <xf numFmtId="0" fontId="33" fillId="0" borderId="27" xfId="0" applyFont="1" applyBorder="1" applyAlignment="1">
      <alignment wrapText="1"/>
    </xf>
    <xf numFmtId="0" fontId="29" fillId="0" borderId="27" xfId="0" applyFont="1" applyBorder="1" applyAlignment="1">
      <alignment wrapText="1"/>
    </xf>
    <xf numFmtId="174" fontId="15" fillId="0" borderId="0" xfId="13" applyNumberFormat="1" applyFont="1" applyFill="1" applyBorder="1"/>
    <xf numFmtId="0" fontId="15" fillId="0" borderId="0" xfId="13" applyNumberFormat="1" applyFont="1" applyFill="1" applyBorder="1"/>
    <xf numFmtId="164" fontId="29" fillId="0" borderId="0" xfId="0" applyNumberFormat="1" applyFont="1" applyBorder="1"/>
    <xf numFmtId="0" fontId="29" fillId="0" borderId="0" xfId="0" applyFont="1" applyBorder="1"/>
    <xf numFmtId="165" fontId="29" fillId="0" borderId="0" xfId="0" applyNumberFormat="1" applyFont="1" applyBorder="1"/>
    <xf numFmtId="11" fontId="29" fillId="0" borderId="0" xfId="0" applyNumberFormat="1" applyFont="1" applyBorder="1" applyAlignment="1">
      <alignment wrapText="1"/>
    </xf>
    <xf numFmtId="11" fontId="29" fillId="0" borderId="0" xfId="0" applyNumberFormat="1" applyFont="1" applyBorder="1"/>
    <xf numFmtId="174" fontId="29" fillId="0" borderId="0" xfId="0" applyNumberFormat="1" applyFont="1" applyBorder="1"/>
    <xf numFmtId="2" fontId="15" fillId="0" borderId="0" xfId="20" applyNumberFormat="1" applyFont="1" applyFill="1" applyBorder="1"/>
    <xf numFmtId="172" fontId="15" fillId="0" borderId="0" xfId="0" applyNumberFormat="1" applyFont="1" applyFill="1" applyBorder="1"/>
    <xf numFmtId="165" fontId="29" fillId="0" borderId="27" xfId="0" applyNumberFormat="1" applyFont="1" applyBorder="1"/>
    <xf numFmtId="11" fontId="29" fillId="0" borderId="27" xfId="0" applyNumberFormat="1" applyFont="1" applyBorder="1" applyAlignment="1">
      <alignment wrapText="1"/>
    </xf>
    <xf numFmtId="11" fontId="29" fillId="0" borderId="27" xfId="0" applyNumberFormat="1" applyFont="1" applyBorder="1"/>
    <xf numFmtId="174" fontId="29" fillId="0" borderId="27" xfId="0" applyNumberFormat="1" applyFont="1" applyBorder="1"/>
    <xf numFmtId="0" fontId="33" fillId="0" borderId="0" xfId="0" applyFont="1"/>
    <xf numFmtId="176" fontId="15" fillId="0" borderId="0" xfId="20" applyNumberFormat="1" applyFont="1" applyFill="1" applyBorder="1"/>
    <xf numFmtId="164" fontId="15" fillId="0" borderId="3" xfId="20" applyFont="1" applyFill="1" applyBorder="1" applyAlignment="1" applyProtection="1">
      <alignment wrapText="1"/>
    </xf>
    <xf numFmtId="164" fontId="29" fillId="0" borderId="3" xfId="0" applyNumberFormat="1" applyFont="1" applyBorder="1" applyAlignment="1">
      <alignment wrapText="1"/>
    </xf>
    <xf numFmtId="173" fontId="21" fillId="0" borderId="3" xfId="74" applyFont="1" applyFill="1" applyBorder="1" applyAlignment="1">
      <alignment wrapText="1"/>
    </xf>
    <xf numFmtId="39" fontId="15" fillId="0" borderId="3" xfId="20" applyNumberFormat="1" applyFont="1" applyFill="1" applyBorder="1" applyAlignment="1" applyProtection="1">
      <alignment wrapText="1"/>
    </xf>
    <xf numFmtId="164" fontId="15" fillId="0" borderId="15" xfId="24" applyNumberFormat="1" applyFont="1" applyFill="1" applyBorder="1"/>
    <xf numFmtId="164" fontId="15" fillId="0" borderId="29" xfId="20" applyFont="1" applyFill="1" applyBorder="1"/>
    <xf numFmtId="164" fontId="14" fillId="30" borderId="3" xfId="24" applyNumberFormat="1" applyFont="1" applyFill="1" applyBorder="1"/>
    <xf numFmtId="0" fontId="15" fillId="0" borderId="3" xfId="79" applyFont="1" applyFill="1" applyBorder="1" applyAlignment="1">
      <alignment wrapText="1"/>
    </xf>
    <xf numFmtId="2" fontId="15" fillId="0" borderId="3" xfId="0" applyNumberFormat="1" applyFont="1" applyFill="1" applyBorder="1" applyAlignment="1">
      <alignment vertical="center"/>
    </xf>
    <xf numFmtId="0" fontId="15" fillId="0" borderId="3" xfId="0" applyNumberFormat="1" applyFont="1" applyFill="1" applyBorder="1" applyAlignment="1">
      <alignment vertical="center" wrapText="1"/>
    </xf>
    <xf numFmtId="0" fontId="15" fillId="0" borderId="0" xfId="0" applyNumberFormat="1" applyFont="1" applyFill="1" applyBorder="1" applyAlignment="1">
      <alignment vertical="center"/>
    </xf>
    <xf numFmtId="164" fontId="15" fillId="0" borderId="0" xfId="20" applyNumberFormat="1" applyFont="1" applyFill="1" applyBorder="1" applyAlignment="1">
      <alignment vertical="center"/>
    </xf>
    <xf numFmtId="0" fontId="15" fillId="0" borderId="0" xfId="0" applyFont="1" applyFill="1" applyBorder="1" applyAlignment="1">
      <alignment vertical="center"/>
    </xf>
    <xf numFmtId="2" fontId="15" fillId="0" borderId="0" xfId="0" applyNumberFormat="1" applyFont="1" applyFill="1" applyBorder="1" applyAlignment="1">
      <alignment vertical="center"/>
    </xf>
    <xf numFmtId="164" fontId="14" fillId="32" borderId="3" xfId="0" applyNumberFormat="1" applyFont="1" applyFill="1" applyBorder="1" applyAlignment="1">
      <alignment wrapText="1"/>
    </xf>
    <xf numFmtId="0" fontId="14" fillId="32" borderId="3" xfId="0" applyFont="1" applyFill="1" applyBorder="1" applyAlignment="1">
      <alignment horizontal="right" wrapText="1"/>
    </xf>
    <xf numFmtId="164" fontId="14" fillId="0" borderId="0" xfId="0" applyNumberFormat="1" applyFont="1" applyFill="1" applyBorder="1" applyAlignment="1">
      <alignment wrapText="1"/>
    </xf>
    <xf numFmtId="164" fontId="29" fillId="0" borderId="0" xfId="49" applyNumberFormat="1" applyFont="1" applyFill="1" applyBorder="1" applyAlignment="1">
      <alignment wrapText="1"/>
    </xf>
    <xf numFmtId="164" fontId="20" fillId="0" borderId="1" xfId="20" applyFont="1" applyBorder="1" applyAlignment="1">
      <alignment wrapText="1"/>
    </xf>
    <xf numFmtId="164" fontId="20" fillId="0" borderId="3" xfId="44" applyFont="1" applyBorder="1" applyAlignment="1">
      <alignment wrapText="1"/>
    </xf>
    <xf numFmtId="164" fontId="20" fillId="0" borderId="3" xfId="44" applyFont="1" applyBorder="1" applyAlignment="1"/>
    <xf numFmtId="164" fontId="20" fillId="0" borderId="3" xfId="44" applyFont="1" applyBorder="1" applyAlignment="1"/>
    <xf numFmtId="164" fontId="15" fillId="0" borderId="15" xfId="24" applyFont="1" applyFill="1" applyBorder="1" applyAlignment="1"/>
    <xf numFmtId="0" fontId="15" fillId="0" borderId="29" xfId="0" applyFont="1" applyFill="1" applyBorder="1" applyAlignment="1"/>
    <xf numFmtId="0" fontId="14" fillId="33" borderId="11" xfId="0" applyFont="1" applyFill="1" applyBorder="1" applyAlignment="1"/>
    <xf numFmtId="0" fontId="14" fillId="33" borderId="3" xfId="0" applyFont="1" applyFill="1" applyBorder="1" applyAlignment="1"/>
    <xf numFmtId="0" fontId="14" fillId="33" borderId="14" xfId="0" applyFont="1" applyFill="1" applyBorder="1" applyAlignment="1">
      <alignment horizontal="right"/>
    </xf>
    <xf numFmtId="164" fontId="14" fillId="33" borderId="14" xfId="0" applyNumberFormat="1" applyFont="1" applyFill="1" applyBorder="1" applyAlignment="1"/>
    <xf numFmtId="0" fontId="14" fillId="33" borderId="3" xfId="0" applyFont="1" applyFill="1" applyBorder="1" applyAlignment="1">
      <alignment horizontal="right"/>
    </xf>
    <xf numFmtId="0" fontId="14" fillId="34" borderId="11" xfId="0" applyFont="1" applyFill="1" applyBorder="1"/>
    <xf numFmtId="0" fontId="14" fillId="34" borderId="11" xfId="0" applyFont="1" applyFill="1" applyBorder="1" applyAlignment="1">
      <alignment horizontal="left"/>
    </xf>
    <xf numFmtId="0" fontId="14" fillId="34" borderId="3" xfId="0" applyFont="1" applyFill="1" applyBorder="1"/>
    <xf numFmtId="0" fontId="14" fillId="34" borderId="14" xfId="0" applyFont="1" applyFill="1" applyBorder="1" applyAlignment="1">
      <alignment horizontal="right"/>
    </xf>
    <xf numFmtId="164" fontId="14" fillId="34" borderId="14" xfId="0" applyNumberFormat="1" applyFont="1" applyFill="1" applyBorder="1"/>
    <xf numFmtId="0" fontId="14" fillId="34" borderId="3" xfId="0" applyFont="1" applyFill="1" applyBorder="1" applyAlignment="1">
      <alignment horizontal="right"/>
    </xf>
    <xf numFmtId="0" fontId="25" fillId="34" borderId="11" xfId="12" applyFill="1" applyBorder="1" applyAlignment="1" applyProtection="1"/>
    <xf numFmtId="177" fontId="15" fillId="0" borderId="3" xfId="13" applyNumberFormat="1" applyFont="1" applyFill="1" applyBorder="1" applyAlignment="1"/>
    <xf numFmtId="0" fontId="14" fillId="34" borderId="11" xfId="0" applyFont="1" applyFill="1" applyBorder="1" applyAlignment="1">
      <alignment wrapText="1"/>
    </xf>
    <xf numFmtId="0" fontId="14" fillId="34" borderId="11" xfId="0" applyFont="1" applyFill="1" applyBorder="1" applyAlignment="1">
      <alignment horizontal="left" wrapText="1"/>
    </xf>
    <xf numFmtId="0" fontId="14" fillId="34" borderId="3" xfId="0" applyFont="1" applyFill="1" applyBorder="1" applyAlignment="1">
      <alignment wrapText="1"/>
    </xf>
    <xf numFmtId="0" fontId="14" fillId="34" borderId="3" xfId="0" applyFont="1" applyFill="1" applyBorder="1" applyAlignment="1">
      <alignment horizontal="right" wrapText="1"/>
    </xf>
    <xf numFmtId="164" fontId="14" fillId="34" borderId="14" xfId="0" applyNumberFormat="1" applyFont="1" applyFill="1" applyBorder="1" applyAlignment="1">
      <alignment wrapText="1"/>
    </xf>
    <xf numFmtId="0" fontId="14" fillId="34" borderId="14" xfId="0" applyFont="1" applyFill="1" applyBorder="1" applyAlignment="1">
      <alignment horizontal="right" wrapText="1"/>
    </xf>
    <xf numFmtId="0" fontId="25" fillId="34" borderId="11" xfId="12" applyFill="1" applyBorder="1" applyAlignment="1" applyProtection="1">
      <alignment wrapText="1"/>
    </xf>
    <xf numFmtId="164" fontId="20" fillId="0" borderId="3" xfId="20" applyFont="1" applyBorder="1" applyAlignment="1"/>
    <xf numFmtId="0" fontId="14" fillId="33" borderId="11" xfId="0" applyFont="1" applyFill="1" applyBorder="1" applyAlignment="1">
      <alignment wrapText="1"/>
    </xf>
    <xf numFmtId="0" fontId="14" fillId="33" borderId="3" xfId="0" applyFont="1" applyFill="1" applyBorder="1" applyAlignment="1">
      <alignment wrapText="1"/>
    </xf>
    <xf numFmtId="0" fontId="14" fillId="33" borderId="14" xfId="0" applyFont="1" applyFill="1" applyBorder="1" applyAlignment="1">
      <alignment horizontal="right" wrapText="1"/>
    </xf>
    <xf numFmtId="164" fontId="14" fillId="33" borderId="14" xfId="0" applyNumberFormat="1" applyFont="1" applyFill="1" applyBorder="1" applyAlignment="1">
      <alignment wrapText="1"/>
    </xf>
    <xf numFmtId="0" fontId="14" fillId="33" borderId="3" xfId="0" applyFont="1" applyFill="1" applyBorder="1" applyAlignment="1">
      <alignment horizontal="right" wrapText="1"/>
    </xf>
    <xf numFmtId="164" fontId="15" fillId="0" borderId="3" xfId="28" applyNumberFormat="1" applyFont="1" applyFill="1" applyBorder="1"/>
    <xf numFmtId="165" fontId="15" fillId="0" borderId="3" xfId="14" applyNumberFormat="1" applyFont="1" applyFill="1" applyBorder="1"/>
    <xf numFmtId="11" fontId="15" fillId="0" borderId="3" xfId="14" applyNumberFormat="1" applyFont="1" applyFill="1" applyBorder="1"/>
    <xf numFmtId="170" fontId="15" fillId="0" borderId="3" xfId="14" applyNumberFormat="1" applyFont="1" applyFill="1" applyBorder="1"/>
    <xf numFmtId="0" fontId="15" fillId="0" borderId="3" xfId="14" applyNumberFormat="1" applyFont="1" applyFill="1" applyBorder="1"/>
    <xf numFmtId="164" fontId="15" fillId="0" borderId="3" xfId="21" applyNumberFormat="1" applyFont="1" applyFill="1" applyBorder="1"/>
    <xf numFmtId="164" fontId="15" fillId="0" borderId="0" xfId="24" applyNumberFormat="1" applyFont="1" applyFill="1" applyBorder="1" applyAlignment="1"/>
    <xf numFmtId="0" fontId="15" fillId="0" borderId="3" xfId="24" applyNumberFormat="1" applyFont="1" applyFill="1" applyBorder="1" applyAlignment="1"/>
    <xf numFmtId="0" fontId="15" fillId="0" borderId="0" xfId="66" applyFont="1" applyFill="1" applyBorder="1" applyAlignment="1" applyProtection="1">
      <alignment wrapText="1"/>
    </xf>
    <xf numFmtId="0" fontId="15" fillId="0" borderId="0" xfId="66" applyFont="1" applyFill="1" applyBorder="1" applyAlignment="1"/>
    <xf numFmtId="167" fontId="29" fillId="0" borderId="0" xfId="6" applyNumberFormat="1" applyFont="1" applyFill="1" applyBorder="1" applyAlignment="1">
      <alignment wrapText="1"/>
    </xf>
    <xf numFmtId="164" fontId="14" fillId="33" borderId="3" xfId="0" applyNumberFormat="1" applyFont="1" applyFill="1" applyBorder="1" applyAlignment="1"/>
    <xf numFmtId="169" fontId="15" fillId="0" borderId="3" xfId="24" applyNumberFormat="1" applyFont="1" applyFill="1" applyBorder="1" applyAlignment="1"/>
    <xf numFmtId="0" fontId="0" fillId="0" borderId="3" xfId="0" applyNumberFormat="1" applyBorder="1" applyAlignment="1"/>
    <xf numFmtId="0" fontId="0" fillId="0" borderId="0" xfId="0" applyBorder="1" applyAlignment="1"/>
    <xf numFmtId="169" fontId="15" fillId="0" borderId="0" xfId="24" applyNumberFormat="1" applyFont="1" applyFill="1" applyBorder="1" applyAlignment="1"/>
    <xf numFmtId="0" fontId="0" fillId="0" borderId="0" xfId="0" applyNumberFormat="1" applyBorder="1" applyAlignment="1"/>
    <xf numFmtId="165" fontId="15" fillId="0" borderId="0" xfId="13" applyFont="1" applyFill="1" applyBorder="1" applyAlignment="1"/>
    <xf numFmtId="11" fontId="15" fillId="0" borderId="0" xfId="0" applyNumberFormat="1" applyFont="1" applyFill="1" applyBorder="1" applyAlignment="1"/>
    <xf numFmtId="171" fontId="15" fillId="0" borderId="0" xfId="13" applyNumberFormat="1" applyFont="1" applyFill="1" applyBorder="1" applyAlignment="1"/>
    <xf numFmtId="0" fontId="0" fillId="0" borderId="0" xfId="0" applyFill="1" applyBorder="1" applyAlignment="1"/>
    <xf numFmtId="169" fontId="15" fillId="0" borderId="0" xfId="0" applyNumberFormat="1" applyFont="1" applyFill="1" applyBorder="1" applyAlignment="1" applyProtection="1">
      <alignment wrapText="1"/>
    </xf>
    <xf numFmtId="2" fontId="15" fillId="0" borderId="0" xfId="24" applyNumberFormat="1" applyFont="1" applyFill="1" applyBorder="1" applyAlignment="1"/>
    <xf numFmtId="11" fontId="15" fillId="0" borderId="0" xfId="13" applyNumberFormat="1" applyFont="1" applyFill="1" applyBorder="1" applyAlignment="1"/>
    <xf numFmtId="0" fontId="15" fillId="0" borderId="0" xfId="13" applyNumberFormat="1" applyFont="1" applyFill="1" applyBorder="1" applyAlignment="1"/>
    <xf numFmtId="169" fontId="0" fillId="0" borderId="3" xfId="0" applyNumberFormat="1" applyBorder="1" applyAlignment="1"/>
    <xf numFmtId="169" fontId="0" fillId="0" borderId="0" xfId="0" applyNumberFormat="1" applyBorder="1" applyAlignment="1"/>
    <xf numFmtId="0" fontId="20" fillId="0" borderId="3" xfId="35" applyNumberFormat="1" applyFont="1" applyBorder="1" applyAlignment="1"/>
    <xf numFmtId="169" fontId="15" fillId="0" borderId="0" xfId="0" applyNumberFormat="1" applyFont="1" applyFill="1" applyBorder="1" applyAlignment="1"/>
    <xf numFmtId="164" fontId="15" fillId="0" borderId="0" xfId="24" applyFont="1" applyFill="1" applyBorder="1" applyAlignment="1"/>
    <xf numFmtId="164" fontId="15" fillId="0" borderId="0" xfId="3" applyFont="1" applyFill="1" applyBorder="1" applyAlignment="1">
      <alignment wrapText="1"/>
    </xf>
    <xf numFmtId="172" fontId="15" fillId="0" borderId="0" xfId="0" applyNumberFormat="1" applyFont="1" applyFill="1" applyBorder="1" applyAlignment="1"/>
    <xf numFmtId="165" fontId="15" fillId="0" borderId="0" xfId="13" applyNumberFormat="1" applyFont="1" applyFill="1" applyBorder="1" applyAlignment="1"/>
    <xf numFmtId="0" fontId="0" fillId="0" borderId="3" xfId="0" applyBorder="1" applyAlignment="1">
      <alignment vertical="center"/>
    </xf>
    <xf numFmtId="0" fontId="5" fillId="0" borderId="3" xfId="72" applyFont="1" applyFill="1" applyBorder="1" applyAlignment="1">
      <alignment vertical="center" wrapText="1"/>
    </xf>
    <xf numFmtId="0" fontId="20" fillId="0" borderId="3" xfId="35" applyNumberFormat="1" applyFont="1" applyBorder="1" applyAlignment="1">
      <alignment vertical="center"/>
    </xf>
    <xf numFmtId="0" fontId="5" fillId="0" borderId="1" xfId="72" applyFont="1" applyFill="1" applyBorder="1" applyAlignment="1">
      <alignment vertical="center" wrapText="1"/>
    </xf>
    <xf numFmtId="169" fontId="0" fillId="0" borderId="3" xfId="0" applyNumberFormat="1" applyBorder="1" applyAlignment="1">
      <alignment vertical="center"/>
    </xf>
    <xf numFmtId="171" fontId="15" fillId="0" borderId="0" xfId="13" applyNumberFormat="1" applyFont="1" applyFill="1" applyBorder="1" applyAlignment="1">
      <alignment vertical="center"/>
    </xf>
    <xf numFmtId="165" fontId="15" fillId="0" borderId="0" xfId="13" applyFont="1" applyFill="1" applyBorder="1" applyAlignment="1">
      <alignment vertical="center"/>
    </xf>
    <xf numFmtId="0" fontId="35" fillId="0" borderId="0" xfId="0" applyFont="1" applyAlignment="1">
      <alignment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164" fontId="20" fillId="0" borderId="3" xfId="20" applyFont="1" applyBorder="1" applyAlignment="1">
      <alignment vertical="center"/>
    </xf>
    <xf numFmtId="0" fontId="14" fillId="0" borderId="0" xfId="0" applyFont="1" applyFill="1" applyBorder="1" applyAlignment="1">
      <alignment vertical="center"/>
    </xf>
    <xf numFmtId="0" fontId="14" fillId="33" borderId="3" xfId="0" applyFont="1" applyFill="1" applyBorder="1" applyAlignment="1">
      <alignment horizontal="right" vertical="center"/>
    </xf>
    <xf numFmtId="164" fontId="14" fillId="33" borderId="3" xfId="0" applyNumberFormat="1" applyFont="1" applyFill="1" applyBorder="1" applyAlignment="1">
      <alignment vertical="center"/>
    </xf>
    <xf numFmtId="0" fontId="14" fillId="33" borderId="3" xfId="0" applyFont="1" applyFill="1" applyBorder="1" applyAlignment="1">
      <alignment vertical="center"/>
    </xf>
    <xf numFmtId="169" fontId="15" fillId="0" borderId="3" xfId="0" applyNumberFormat="1" applyFont="1" applyFill="1" applyBorder="1" applyAlignment="1">
      <alignment vertical="center"/>
    </xf>
    <xf numFmtId="39" fontId="15" fillId="0" borderId="3" xfId="24" applyNumberFormat="1" applyFont="1" applyFill="1" applyBorder="1" applyAlignment="1">
      <alignment vertical="center"/>
    </xf>
    <xf numFmtId="0" fontId="15" fillId="0" borderId="3" xfId="24" applyNumberFormat="1" applyFont="1" applyFill="1" applyBorder="1" applyAlignment="1">
      <alignment vertical="center"/>
    </xf>
    <xf numFmtId="164" fontId="15" fillId="0" borderId="3" xfId="24" applyFont="1" applyFill="1" applyBorder="1" applyAlignment="1">
      <alignment vertical="center"/>
    </xf>
    <xf numFmtId="0" fontId="0" fillId="0" borderId="3" xfId="0" applyNumberFormat="1" applyBorder="1" applyAlignment="1">
      <alignment vertical="center"/>
    </xf>
    <xf numFmtId="173" fontId="21" fillId="0" borderId="3" xfId="75" applyNumberFormat="1" applyBorder="1" applyAlignment="1">
      <alignment vertical="center" wrapText="1"/>
    </xf>
    <xf numFmtId="39" fontId="15" fillId="0" borderId="3" xfId="20" applyNumberFormat="1" applyFont="1" applyFill="1" applyBorder="1" applyAlignment="1">
      <alignment vertical="center"/>
    </xf>
    <xf numFmtId="0" fontId="14" fillId="33" borderId="14" xfId="0" applyFont="1" applyFill="1" applyBorder="1" applyAlignment="1">
      <alignment horizontal="right" vertical="center"/>
    </xf>
    <xf numFmtId="164" fontId="14" fillId="33" borderId="14" xfId="0" applyNumberFormat="1" applyFont="1" applyFill="1" applyBorder="1" applyAlignment="1">
      <alignment vertical="center"/>
    </xf>
    <xf numFmtId="0" fontId="15" fillId="0" borderId="0" xfId="0" applyFont="1" applyFill="1" applyBorder="1" applyAlignment="1">
      <alignment horizontal="right" vertical="center"/>
    </xf>
    <xf numFmtId="164" fontId="15" fillId="0" borderId="0" xfId="0" applyNumberFormat="1" applyFont="1" applyFill="1" applyBorder="1" applyAlignment="1">
      <alignment vertical="center"/>
    </xf>
    <xf numFmtId="164" fontId="15" fillId="0" borderId="3" xfId="24" applyNumberFormat="1" applyFont="1" applyFill="1" applyBorder="1" applyAlignment="1">
      <alignment vertical="center"/>
    </xf>
    <xf numFmtId="164" fontId="14" fillId="34" borderId="3" xfId="0" applyNumberFormat="1" applyFont="1" applyFill="1" applyBorder="1"/>
    <xf numFmtId="0" fontId="14" fillId="33" borderId="11" xfId="0" applyFont="1" applyFill="1" applyBorder="1"/>
    <xf numFmtId="0" fontId="14" fillId="33" borderId="3" xfId="0" applyFont="1" applyFill="1" applyBorder="1"/>
    <xf numFmtId="164" fontId="14" fillId="33" borderId="3" xfId="0" applyNumberFormat="1" applyFont="1" applyFill="1" applyBorder="1"/>
    <xf numFmtId="169" fontId="15" fillId="0" borderId="3" xfId="35" applyNumberFormat="1" applyFont="1" applyFill="1" applyBorder="1"/>
    <xf numFmtId="164" fontId="20" fillId="0" borderId="23" xfId="44" applyFont="1" applyBorder="1"/>
    <xf numFmtId="164" fontId="15" fillId="0" borderId="0" xfId="24" applyFont="1" applyFill="1" applyBorder="1"/>
    <xf numFmtId="164" fontId="14" fillId="33" borderId="14" xfId="0" applyNumberFormat="1" applyFont="1" applyFill="1" applyBorder="1"/>
    <xf numFmtId="0" fontId="0" fillId="0" borderId="3" xfId="0" applyNumberFormat="1" applyBorder="1"/>
    <xf numFmtId="164" fontId="0" fillId="0" borderId="3" xfId="0" applyNumberFormat="1" applyBorder="1"/>
    <xf numFmtId="0" fontId="14" fillId="34" borderId="12" xfId="0" applyFont="1" applyFill="1" applyBorder="1"/>
    <xf numFmtId="0" fontId="14" fillId="34" borderId="14" xfId="0" applyFont="1" applyFill="1" applyBorder="1"/>
    <xf numFmtId="0" fontId="5" fillId="0" borderId="17" xfId="72" applyFont="1" applyFill="1" applyBorder="1" applyAlignment="1">
      <alignment wrapText="1"/>
    </xf>
    <xf numFmtId="0" fontId="20" fillId="0" borderId="3" xfId="44" applyNumberFormat="1" applyFont="1" applyBorder="1" applyAlignment="1"/>
    <xf numFmtId="164" fontId="20" fillId="0" borderId="1" xfId="44" applyFont="1" applyBorder="1" applyAlignment="1"/>
    <xf numFmtId="0" fontId="15" fillId="0" borderId="17" xfId="0" applyFont="1" applyFill="1" applyBorder="1" applyAlignment="1"/>
    <xf numFmtId="169" fontId="15" fillId="0" borderId="3" xfId="0" applyNumberFormat="1" applyFont="1" applyFill="1" applyBorder="1" applyAlignment="1"/>
    <xf numFmtId="39" fontId="15" fillId="0" borderId="3" xfId="24" applyNumberFormat="1" applyFont="1" applyFill="1" applyBorder="1" applyAlignment="1"/>
    <xf numFmtId="169" fontId="20" fillId="0" borderId="3" xfId="35" applyNumberFormat="1" applyFont="1" applyBorder="1"/>
    <xf numFmtId="168" fontId="0" fillId="0" borderId="0" xfId="0" applyNumberFormat="1"/>
    <xf numFmtId="11" fontId="14" fillId="0" borderId="0" xfId="0" applyNumberFormat="1" applyFont="1" applyFill="1" applyBorder="1"/>
    <xf numFmtId="193" fontId="0" fillId="0" borderId="0" xfId="0" applyNumberFormat="1"/>
    <xf numFmtId="173" fontId="21" fillId="0" borderId="37" xfId="74" applyBorder="1">
      <alignment vertical="center" wrapText="1"/>
    </xf>
    <xf numFmtId="0" fontId="14" fillId="34" borderId="4" xfId="0" applyFont="1" applyFill="1" applyBorder="1"/>
    <xf numFmtId="0" fontId="15" fillId="0" borderId="15" xfId="0" applyFont="1" applyFill="1" applyBorder="1"/>
    <xf numFmtId="0" fontId="14" fillId="35" borderId="11" xfId="0" applyFont="1" applyFill="1" applyBorder="1"/>
    <xf numFmtId="0" fontId="14" fillId="35" borderId="3" xfId="0" applyFont="1" applyFill="1" applyBorder="1"/>
    <xf numFmtId="164" fontId="29" fillId="0" borderId="0" xfId="4" applyFont="1" applyFill="1" applyBorder="1">
      <alignment vertical="center" wrapText="1"/>
    </xf>
    <xf numFmtId="0" fontId="14" fillId="35" borderId="3" xfId="0" applyFont="1" applyFill="1" applyBorder="1" applyAlignment="1">
      <alignment horizontal="right"/>
    </xf>
    <xf numFmtId="164" fontId="14" fillId="35" borderId="3" xfId="0" applyNumberFormat="1" applyFont="1" applyFill="1" applyBorder="1"/>
    <xf numFmtId="0" fontId="14" fillId="37" borderId="11" xfId="0" applyFont="1" applyFill="1" applyBorder="1"/>
    <xf numFmtId="0" fontId="14" fillId="37" borderId="11" xfId="0" applyFont="1" applyFill="1" applyBorder="1" applyAlignment="1">
      <alignment horizontal="left"/>
    </xf>
    <xf numFmtId="0" fontId="14" fillId="37" borderId="12" xfId="0" applyFont="1" applyFill="1" applyBorder="1"/>
    <xf numFmtId="0" fontId="0" fillId="0" borderId="13" xfId="0" applyFill="1" applyBorder="1"/>
    <xf numFmtId="0" fontId="14" fillId="37" borderId="14" xfId="0" applyFont="1" applyFill="1" applyBorder="1"/>
    <xf numFmtId="0" fontId="14" fillId="37" borderId="3" xfId="0" applyFont="1" applyFill="1" applyBorder="1"/>
    <xf numFmtId="0" fontId="14" fillId="37" borderId="3" xfId="0" applyFont="1" applyFill="1" applyBorder="1" applyAlignment="1">
      <alignment horizontal="right"/>
    </xf>
    <xf numFmtId="164" fontId="14" fillId="37" borderId="3" xfId="0" applyNumberFormat="1" applyFont="1" applyFill="1" applyBorder="1"/>
    <xf numFmtId="0" fontId="25" fillId="37" borderId="11" xfId="12" applyFill="1" applyBorder="1" applyAlignment="1" applyProtection="1"/>
    <xf numFmtId="49" fontId="0" fillId="14" borderId="10" xfId="0" quotePrefix="1" applyNumberFormat="1" applyFill="1" applyBorder="1"/>
    <xf numFmtId="166" fontId="8" fillId="20" borderId="3" xfId="50" applyNumberFormat="1" applyFont="1" applyFill="1" applyBorder="1" applyAlignment="1" applyProtection="1"/>
    <xf numFmtId="37" fontId="8" fillId="20" borderId="3" xfId="50" applyNumberFormat="1" applyFont="1" applyFill="1" applyBorder="1" applyAlignment="1" applyProtection="1">
      <alignment horizontal="center"/>
      <protection locked="0"/>
    </xf>
    <xf numFmtId="37" fontId="8" fillId="21" borderId="3" xfId="50" applyNumberFormat="1" applyFont="1" applyFill="1" applyBorder="1" applyAlignment="1" applyProtection="1">
      <alignment horizontal="center"/>
      <protection locked="0"/>
    </xf>
    <xf numFmtId="37" fontId="8" fillId="24" borderId="3" xfId="19" applyNumberFormat="1" applyFont="1" applyFill="1" applyBorder="1" applyAlignment="1" applyProtection="1">
      <alignment horizontal="center"/>
      <protection locked="0"/>
    </xf>
    <xf numFmtId="37" fontId="8" fillId="25" borderId="3" xfId="50" applyNumberFormat="1" applyFont="1" applyFill="1" applyBorder="1" applyAlignment="1" applyProtection="1">
      <alignment horizontal="center"/>
      <protection locked="0"/>
    </xf>
    <xf numFmtId="37" fontId="8" fillId="24" borderId="3" xfId="50" applyNumberFormat="1" applyFont="1" applyFill="1" applyBorder="1" applyAlignment="1" applyProtection="1">
      <alignment horizontal="center"/>
      <protection locked="0"/>
    </xf>
    <xf numFmtId="37" fontId="8" fillId="26" borderId="3" xfId="50" applyNumberFormat="1" applyFont="1" applyFill="1" applyBorder="1" applyAlignment="1" applyProtection="1">
      <alignment horizontal="center"/>
      <protection locked="0"/>
    </xf>
    <xf numFmtId="37" fontId="8" fillId="27" borderId="3" xfId="50" applyNumberFormat="1" applyFont="1" applyFill="1" applyBorder="1" applyAlignment="1" applyProtection="1">
      <alignment horizontal="center"/>
      <protection locked="0"/>
    </xf>
    <xf numFmtId="37" fontId="8" fillId="12" borderId="3" xfId="50" applyNumberFormat="1" applyFont="1" applyFill="1" applyBorder="1" applyAlignment="1" applyProtection="1">
      <alignment horizontal="center"/>
      <protection locked="0"/>
    </xf>
    <xf numFmtId="37" fontId="8" fillId="31" borderId="3" xfId="50" applyNumberFormat="1" applyFont="1" applyFill="1" applyBorder="1" applyAlignment="1" applyProtection="1">
      <alignment horizontal="center"/>
      <protection locked="0"/>
    </xf>
    <xf numFmtId="37" fontId="8" fillId="32" borderId="3" xfId="50" applyNumberFormat="1" applyFont="1" applyFill="1" applyBorder="1" applyAlignment="1" applyProtection="1">
      <alignment horizontal="center"/>
      <protection locked="0"/>
    </xf>
    <xf numFmtId="37" fontId="8" fillId="30" borderId="3" xfId="50" applyNumberFormat="1" applyFont="1" applyFill="1" applyBorder="1" applyAlignment="1" applyProtection="1">
      <alignment horizontal="center"/>
      <protection locked="0"/>
    </xf>
    <xf numFmtId="37" fontId="8" fillId="33" borderId="3" xfId="50" applyNumberFormat="1" applyFont="1" applyFill="1" applyBorder="1" applyAlignment="1" applyProtection="1">
      <alignment horizontal="center"/>
      <protection locked="0"/>
    </xf>
    <xf numFmtId="37" fontId="8" fillId="9" borderId="3" xfId="50" applyNumberFormat="1" applyFont="1" applyFill="1" applyBorder="1" applyAlignment="1" applyProtection="1">
      <alignment horizontal="center"/>
      <protection locked="0"/>
    </xf>
    <xf numFmtId="181" fontId="15" fillId="0" borderId="0" xfId="0" applyNumberFormat="1" applyFont="1" applyFill="1" applyBorder="1"/>
    <xf numFmtId="37" fontId="8" fillId="35" borderId="3" xfId="50" applyNumberFormat="1" applyFont="1" applyFill="1" applyBorder="1" applyAlignment="1" applyProtection="1">
      <alignment horizontal="center"/>
      <protection locked="0"/>
    </xf>
    <xf numFmtId="37" fontId="8" fillId="10" borderId="3" xfId="50" applyNumberFormat="1" applyFont="1" applyFill="1" applyBorder="1" applyAlignment="1" applyProtection="1">
      <alignment horizontal="center"/>
      <protection locked="0"/>
    </xf>
    <xf numFmtId="166" fontId="8" fillId="40" borderId="3" xfId="50" applyNumberFormat="1" applyFont="1" applyFill="1" applyBorder="1" applyAlignment="1" applyProtection="1">
      <alignment horizontal="right"/>
      <protection locked="0"/>
    </xf>
    <xf numFmtId="0" fontId="8" fillId="40" borderId="3" xfId="50" applyFont="1" applyFill="1" applyBorder="1" applyProtection="1">
      <protection locked="0"/>
    </xf>
    <xf numFmtId="0" fontId="8" fillId="40" borderId="3" xfId="50" applyFont="1" applyFill="1" applyBorder="1" applyAlignment="1">
      <alignment horizontal="left"/>
    </xf>
    <xf numFmtId="18" fontId="8" fillId="40" borderId="3" xfId="50" applyNumberFormat="1" applyFont="1" applyFill="1" applyBorder="1" applyAlignment="1" applyProtection="1">
      <protection locked="0"/>
    </xf>
    <xf numFmtId="164" fontId="8" fillId="40" borderId="3" xfId="19" applyNumberFormat="1" applyFont="1" applyFill="1" applyBorder="1" applyAlignment="1" applyProtection="1">
      <alignment horizontal="center"/>
      <protection locked="0"/>
    </xf>
    <xf numFmtId="37" fontId="8" fillId="40" borderId="3" xfId="50" applyNumberFormat="1" applyFont="1" applyFill="1" applyBorder="1" applyAlignment="1" applyProtection="1">
      <alignment horizontal="center"/>
      <protection locked="0"/>
    </xf>
    <xf numFmtId="0" fontId="8" fillId="40" borderId="3" xfId="50" applyFont="1" applyFill="1" applyBorder="1" applyAlignment="1">
      <alignment horizontal="center"/>
    </xf>
    <xf numFmtId="166" fontId="8" fillId="40" borderId="3" xfId="50" quotePrefix="1" applyNumberFormat="1" applyFont="1" applyFill="1" applyBorder="1" applyAlignment="1" applyProtection="1">
      <alignment horizontal="right"/>
      <protection locked="0"/>
    </xf>
    <xf numFmtId="11" fontId="8" fillId="40" borderId="3" xfId="50" applyNumberFormat="1" applyFont="1" applyFill="1" applyBorder="1" applyAlignment="1" applyProtection="1">
      <protection locked="0"/>
    </xf>
    <xf numFmtId="164" fontId="8" fillId="40" borderId="26" xfId="19" applyNumberFormat="1" applyFont="1" applyFill="1" applyBorder="1" applyAlignment="1" applyProtection="1">
      <alignment horizontal="center"/>
      <protection locked="0"/>
    </xf>
    <xf numFmtId="164" fontId="8" fillId="40" borderId="30" xfId="19" applyNumberFormat="1" applyFont="1" applyFill="1" applyBorder="1" applyAlignment="1" applyProtection="1">
      <alignment horizontal="center"/>
      <protection locked="0"/>
    </xf>
    <xf numFmtId="164" fontId="8" fillId="40" borderId="4" xfId="19" applyNumberFormat="1" applyFont="1" applyFill="1" applyBorder="1" applyAlignment="1" applyProtection="1">
      <alignment horizontal="center"/>
      <protection locked="0"/>
    </xf>
    <xf numFmtId="0" fontId="8" fillId="25" borderId="3" xfId="50" applyFont="1" applyFill="1" applyBorder="1" applyProtection="1">
      <protection locked="0"/>
    </xf>
    <xf numFmtId="0" fontId="8" fillId="25" borderId="3" xfId="50" applyFont="1" applyFill="1" applyBorder="1" applyAlignment="1">
      <alignment horizontal="center"/>
    </xf>
    <xf numFmtId="0" fontId="8" fillId="25" borderId="3" xfId="50" applyFont="1" applyFill="1" applyBorder="1" applyAlignment="1" applyProtection="1">
      <alignment horizontal="center"/>
      <protection locked="0"/>
    </xf>
    <xf numFmtId="0" fontId="8" fillId="43" borderId="3" xfId="50" applyFont="1" applyFill="1" applyBorder="1" applyProtection="1">
      <protection locked="0"/>
    </xf>
    <xf numFmtId="0" fontId="8" fillId="43" borderId="3" xfId="50" applyFont="1" applyFill="1" applyBorder="1" applyAlignment="1">
      <alignment horizontal="left"/>
    </xf>
    <xf numFmtId="18" fontId="8" fillId="43" borderId="3" xfId="50" applyNumberFormat="1" applyFont="1" applyFill="1" applyBorder="1" applyAlignment="1" applyProtection="1">
      <alignment horizontal="right"/>
      <protection locked="0"/>
    </xf>
    <xf numFmtId="18" fontId="8" fillId="43" borderId="3" xfId="50" applyNumberFormat="1" applyFont="1" applyFill="1" applyBorder="1" applyAlignment="1" applyProtection="1">
      <protection locked="0"/>
    </xf>
    <xf numFmtId="164" fontId="8" fillId="43" borderId="3" xfId="19" applyNumberFormat="1" applyFont="1" applyFill="1" applyBorder="1" applyAlignment="1" applyProtection="1">
      <alignment horizontal="center"/>
      <protection locked="0"/>
    </xf>
    <xf numFmtId="37" fontId="8" fillId="43" borderId="3" xfId="50" applyNumberFormat="1" applyFont="1" applyFill="1" applyBorder="1" applyAlignment="1" applyProtection="1">
      <alignment horizontal="center"/>
      <protection locked="0"/>
    </xf>
    <xf numFmtId="0" fontId="8" fillId="43" borderId="3" xfId="50" applyFont="1" applyFill="1" applyBorder="1" applyAlignment="1">
      <alignment horizontal="center"/>
    </xf>
    <xf numFmtId="11" fontId="8" fillId="43" borderId="3" xfId="50" applyNumberFormat="1" applyFont="1" applyFill="1" applyBorder="1" applyAlignment="1" applyProtection="1">
      <protection locked="0"/>
    </xf>
    <xf numFmtId="0" fontId="2" fillId="0" borderId="0" xfId="50" applyFont="1" applyAlignment="1">
      <alignment horizontal="center" vertical="top" wrapText="1"/>
    </xf>
    <xf numFmtId="0" fontId="3" fillId="0" borderId="0" xfId="50" applyFont="1" applyAlignment="1">
      <alignment horizontal="center" wrapText="1"/>
    </xf>
    <xf numFmtId="0" fontId="1" fillId="0" borderId="0" xfId="50" applyAlignment="1">
      <alignment horizontal="center" vertical="top"/>
    </xf>
    <xf numFmtId="0" fontId="14" fillId="40" borderId="12" xfId="0" applyFont="1" applyFill="1" applyBorder="1" applyAlignment="1">
      <alignment horizontal="left" vertical="center" wrapText="1"/>
    </xf>
    <xf numFmtId="0" fontId="14" fillId="40" borderId="0" xfId="0" applyFont="1" applyFill="1" applyBorder="1" applyAlignment="1">
      <alignment horizontal="left" vertical="center" wrapText="1"/>
    </xf>
    <xf numFmtId="0" fontId="15" fillId="0" borderId="0" xfId="0" applyFont="1" applyFill="1" applyBorder="1" applyAlignment="1">
      <alignment horizontal="left" wrapText="1"/>
    </xf>
  </cellXfs>
  <cellStyles count="80">
    <cellStyle name="Check Cell" xfId="79" builtinId="23"/>
    <cellStyle name="Comma 2" xfId="1"/>
    <cellStyle name="Comma 3" xfId="2"/>
    <cellStyle name="Cost Table Plain" xfId="3"/>
    <cellStyle name="Cost_Green" xfId="4"/>
    <cellStyle name="Cost_Red" xfId="5"/>
    <cellStyle name="Cost_Yellow" xfId="6"/>
    <cellStyle name="Cost_Yellow 2" xfId="7"/>
    <cellStyle name="Currency" xfId="19" builtinId="4"/>
    <cellStyle name="Currency 2" xfId="8"/>
    <cellStyle name="Currency 3" xfId="9"/>
    <cellStyle name="Currency 4" xfId="10"/>
    <cellStyle name="Good" xfId="73" builtinId="26"/>
    <cellStyle name="Good 2" xfId="11"/>
    <cellStyle name="Hyperlink" xfId="12" builtinId="8"/>
    <cellStyle name="Milliers 2" xfId="13"/>
    <cellStyle name="Milliers 2 2" xfId="14"/>
    <cellStyle name="Milliers 3" xfId="15"/>
    <cellStyle name="Milliers 4" xfId="16"/>
    <cellStyle name="Milliers 5" xfId="17"/>
    <cellStyle name="Milliers 9" xfId="18"/>
    <cellStyle name="Monétaire 10" xfId="20"/>
    <cellStyle name="Monétaire 10 2" xfId="21"/>
    <cellStyle name="Monétaire 17" xfId="22"/>
    <cellStyle name="Monétaire 18" xfId="23"/>
    <cellStyle name="Monétaire 2" xfId="24"/>
    <cellStyle name="Monétaire 2 2" xfId="25"/>
    <cellStyle name="Monétaire 2 3" xfId="26"/>
    <cellStyle name="Monétaire 2 4" xfId="27"/>
    <cellStyle name="Monétaire 2 5" xfId="28"/>
    <cellStyle name="Monétaire 20" xfId="29"/>
    <cellStyle name="Monétaire 21" xfId="30"/>
    <cellStyle name="Monétaire 22" xfId="31"/>
    <cellStyle name="Monétaire 24" xfId="32"/>
    <cellStyle name="Monétaire 25" xfId="33"/>
    <cellStyle name="Monétaire 27" xfId="34"/>
    <cellStyle name="Monétaire 3" xfId="35"/>
    <cellStyle name="Monétaire 3 2" xfId="36"/>
    <cellStyle name="Monétaire 3 3" xfId="37"/>
    <cellStyle name="Monétaire 3 4" xfId="38"/>
    <cellStyle name="Monétaire 30" xfId="39"/>
    <cellStyle name="Monétaire 35" xfId="40"/>
    <cellStyle name="Monétaire 38" xfId="41"/>
    <cellStyle name="Monétaire 4" xfId="42"/>
    <cellStyle name="Monétaire 4 2" xfId="43"/>
    <cellStyle name="Monétaire 4 3" xfId="44"/>
    <cellStyle name="Monétaire 4 4" xfId="45"/>
    <cellStyle name="Monétaire 5" xfId="46"/>
    <cellStyle name="Monétaire 5 2" xfId="47"/>
    <cellStyle name="Monétaire 6" xfId="48"/>
    <cellStyle name="Neutral" xfId="49" builtinId="28"/>
    <cellStyle name="Normal" xfId="0" builtinId="0"/>
    <cellStyle name="Normal 2" xfId="50"/>
    <cellStyle name="Normal 2 2" xfId="51"/>
    <cellStyle name="Normal 2 2 2" xfId="52"/>
    <cellStyle name="Normal 2 2 2 2" xfId="53"/>
    <cellStyle name="Normal 2 2 2 2 2" xfId="54"/>
    <cellStyle name="Normal 2 2 2 3" xfId="55"/>
    <cellStyle name="Normal 2 2 3" xfId="56"/>
    <cellStyle name="Normal 2 2 4" xfId="57"/>
    <cellStyle name="Normal 2 2 4 2" xfId="58"/>
    <cellStyle name="Normal 2 3" xfId="59"/>
    <cellStyle name="Normal 2 4" xfId="60"/>
    <cellStyle name="Normal 3" xfId="61"/>
    <cellStyle name="Normal 3 2" xfId="62"/>
    <cellStyle name="Normal 3 3" xfId="63"/>
    <cellStyle name="Normal 3 3 2" xfId="64"/>
    <cellStyle name="Normal 3 4" xfId="65"/>
    <cellStyle name="Normal 4" xfId="66"/>
    <cellStyle name="Normal 4 2" xfId="67"/>
    <cellStyle name="Normal 5" xfId="68"/>
    <cellStyle name="Normal 5 2" xfId="69"/>
    <cellStyle name="Normal 5 3" xfId="70"/>
    <cellStyle name="Normal 6" xfId="71"/>
    <cellStyle name="Normal_Sheet1" xfId="72"/>
    <cellStyle name="Style 1" xfId="74"/>
    <cellStyle name="Style 1 2" xfId="75"/>
    <cellStyle name="Style 1 3" xfId="76"/>
    <cellStyle name="Style 1 4" xfId="77"/>
    <cellStyle name="Style 1 5" xfId="78"/>
  </cellStyles>
  <dxfs count="2">
    <dxf>
      <font>
        <condense val="0"/>
        <extend val="0"/>
        <color indexed="9"/>
      </font>
    </dxf>
    <dxf>
      <font>
        <condense val="0"/>
        <extend val="0"/>
        <color indexed="9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99" Type="http://schemas.openxmlformats.org/officeDocument/2006/relationships/worksheet" Target="worksheets/sheet299.xml"/><Relationship Id="rId21" Type="http://schemas.openxmlformats.org/officeDocument/2006/relationships/worksheet" Target="worksheets/sheet21.xml"/><Relationship Id="rId63" Type="http://schemas.openxmlformats.org/officeDocument/2006/relationships/worksheet" Target="worksheets/sheet63.xml"/><Relationship Id="rId159" Type="http://schemas.openxmlformats.org/officeDocument/2006/relationships/worksheet" Target="worksheets/sheet159.xml"/><Relationship Id="rId324" Type="http://schemas.openxmlformats.org/officeDocument/2006/relationships/worksheet" Target="worksheets/sheet324.xml"/><Relationship Id="rId366" Type="http://schemas.openxmlformats.org/officeDocument/2006/relationships/worksheet" Target="worksheets/sheet366.xml"/><Relationship Id="rId170" Type="http://schemas.openxmlformats.org/officeDocument/2006/relationships/worksheet" Target="worksheets/sheet170.xml"/><Relationship Id="rId226" Type="http://schemas.openxmlformats.org/officeDocument/2006/relationships/worksheet" Target="worksheets/sheet226.xml"/><Relationship Id="rId268" Type="http://schemas.openxmlformats.org/officeDocument/2006/relationships/worksheet" Target="worksheets/sheet268.xml"/><Relationship Id="rId32" Type="http://schemas.openxmlformats.org/officeDocument/2006/relationships/worksheet" Target="worksheets/sheet32.xml"/><Relationship Id="rId74" Type="http://schemas.openxmlformats.org/officeDocument/2006/relationships/worksheet" Target="worksheets/sheet74.xml"/><Relationship Id="rId128" Type="http://schemas.openxmlformats.org/officeDocument/2006/relationships/worksheet" Target="worksheets/sheet128.xml"/><Relationship Id="rId335" Type="http://schemas.openxmlformats.org/officeDocument/2006/relationships/worksheet" Target="worksheets/sheet335.xml"/><Relationship Id="rId377" Type="http://schemas.openxmlformats.org/officeDocument/2006/relationships/worksheet" Target="worksheets/sheet377.xml"/><Relationship Id="rId5" Type="http://schemas.openxmlformats.org/officeDocument/2006/relationships/worksheet" Target="worksheets/sheet5.xml"/><Relationship Id="rId95" Type="http://schemas.openxmlformats.org/officeDocument/2006/relationships/worksheet" Target="worksheets/sheet95.xml"/><Relationship Id="rId160" Type="http://schemas.openxmlformats.org/officeDocument/2006/relationships/worksheet" Target="worksheets/sheet160.xml"/><Relationship Id="rId181" Type="http://schemas.openxmlformats.org/officeDocument/2006/relationships/worksheet" Target="worksheets/sheet181.xml"/><Relationship Id="rId216" Type="http://schemas.openxmlformats.org/officeDocument/2006/relationships/worksheet" Target="worksheets/sheet216.xml"/><Relationship Id="rId237" Type="http://schemas.openxmlformats.org/officeDocument/2006/relationships/worksheet" Target="worksheets/sheet237.xml"/><Relationship Id="rId402" Type="http://schemas.openxmlformats.org/officeDocument/2006/relationships/worksheet" Target="worksheets/sheet402.xml"/><Relationship Id="rId258" Type="http://schemas.openxmlformats.org/officeDocument/2006/relationships/worksheet" Target="worksheets/sheet258.xml"/><Relationship Id="rId279" Type="http://schemas.openxmlformats.org/officeDocument/2006/relationships/worksheet" Target="worksheets/sheet279.xml"/><Relationship Id="rId22" Type="http://schemas.openxmlformats.org/officeDocument/2006/relationships/worksheet" Target="worksheets/sheet22.xml"/><Relationship Id="rId43" Type="http://schemas.openxmlformats.org/officeDocument/2006/relationships/worksheet" Target="worksheets/sheet43.xml"/><Relationship Id="rId64" Type="http://schemas.openxmlformats.org/officeDocument/2006/relationships/worksheet" Target="worksheets/sheet64.xml"/><Relationship Id="rId118" Type="http://schemas.openxmlformats.org/officeDocument/2006/relationships/worksheet" Target="worksheets/sheet118.xml"/><Relationship Id="rId139" Type="http://schemas.openxmlformats.org/officeDocument/2006/relationships/worksheet" Target="worksheets/sheet139.xml"/><Relationship Id="rId290" Type="http://schemas.openxmlformats.org/officeDocument/2006/relationships/worksheet" Target="worksheets/sheet290.xml"/><Relationship Id="rId304" Type="http://schemas.openxmlformats.org/officeDocument/2006/relationships/worksheet" Target="worksheets/sheet304.xml"/><Relationship Id="rId325" Type="http://schemas.openxmlformats.org/officeDocument/2006/relationships/worksheet" Target="worksheets/sheet325.xml"/><Relationship Id="rId346" Type="http://schemas.openxmlformats.org/officeDocument/2006/relationships/worksheet" Target="worksheets/sheet346.xml"/><Relationship Id="rId367" Type="http://schemas.openxmlformats.org/officeDocument/2006/relationships/worksheet" Target="worksheets/sheet367.xml"/><Relationship Id="rId388" Type="http://schemas.openxmlformats.org/officeDocument/2006/relationships/worksheet" Target="worksheets/sheet388.xml"/><Relationship Id="rId85" Type="http://schemas.openxmlformats.org/officeDocument/2006/relationships/worksheet" Target="worksheets/sheet85.xml"/><Relationship Id="rId150" Type="http://schemas.openxmlformats.org/officeDocument/2006/relationships/worksheet" Target="worksheets/sheet150.xml"/><Relationship Id="rId171" Type="http://schemas.openxmlformats.org/officeDocument/2006/relationships/worksheet" Target="worksheets/sheet171.xml"/><Relationship Id="rId192" Type="http://schemas.openxmlformats.org/officeDocument/2006/relationships/worksheet" Target="worksheets/sheet192.xml"/><Relationship Id="rId206" Type="http://schemas.openxmlformats.org/officeDocument/2006/relationships/worksheet" Target="worksheets/sheet206.xml"/><Relationship Id="rId227" Type="http://schemas.openxmlformats.org/officeDocument/2006/relationships/worksheet" Target="worksheets/sheet227.xml"/><Relationship Id="rId248" Type="http://schemas.openxmlformats.org/officeDocument/2006/relationships/worksheet" Target="worksheets/sheet248.xml"/><Relationship Id="rId269" Type="http://schemas.openxmlformats.org/officeDocument/2006/relationships/worksheet" Target="worksheets/sheet269.xml"/><Relationship Id="rId12" Type="http://schemas.openxmlformats.org/officeDocument/2006/relationships/worksheet" Target="worksheets/sheet12.xml"/><Relationship Id="rId33" Type="http://schemas.openxmlformats.org/officeDocument/2006/relationships/worksheet" Target="worksheets/sheet33.xml"/><Relationship Id="rId108" Type="http://schemas.openxmlformats.org/officeDocument/2006/relationships/worksheet" Target="worksheets/sheet108.xml"/><Relationship Id="rId129" Type="http://schemas.openxmlformats.org/officeDocument/2006/relationships/worksheet" Target="worksheets/sheet129.xml"/><Relationship Id="rId280" Type="http://schemas.openxmlformats.org/officeDocument/2006/relationships/worksheet" Target="worksheets/sheet280.xml"/><Relationship Id="rId315" Type="http://schemas.openxmlformats.org/officeDocument/2006/relationships/worksheet" Target="worksheets/sheet315.xml"/><Relationship Id="rId336" Type="http://schemas.openxmlformats.org/officeDocument/2006/relationships/worksheet" Target="worksheets/sheet336.xml"/><Relationship Id="rId357" Type="http://schemas.openxmlformats.org/officeDocument/2006/relationships/worksheet" Target="worksheets/sheet357.xml"/><Relationship Id="rId54" Type="http://schemas.openxmlformats.org/officeDocument/2006/relationships/worksheet" Target="worksheets/sheet54.xml"/><Relationship Id="rId75" Type="http://schemas.openxmlformats.org/officeDocument/2006/relationships/worksheet" Target="worksheets/sheet75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61" Type="http://schemas.openxmlformats.org/officeDocument/2006/relationships/worksheet" Target="worksheets/sheet161.xml"/><Relationship Id="rId182" Type="http://schemas.openxmlformats.org/officeDocument/2006/relationships/worksheet" Target="worksheets/sheet182.xml"/><Relationship Id="rId217" Type="http://schemas.openxmlformats.org/officeDocument/2006/relationships/worksheet" Target="worksheets/sheet217.xml"/><Relationship Id="rId378" Type="http://schemas.openxmlformats.org/officeDocument/2006/relationships/worksheet" Target="worksheets/sheet378.xml"/><Relationship Id="rId399" Type="http://schemas.openxmlformats.org/officeDocument/2006/relationships/worksheet" Target="worksheets/sheet399.xml"/><Relationship Id="rId403" Type="http://schemas.openxmlformats.org/officeDocument/2006/relationships/worksheet" Target="worksheets/sheet403.xml"/><Relationship Id="rId6" Type="http://schemas.openxmlformats.org/officeDocument/2006/relationships/worksheet" Target="worksheets/sheet6.xml"/><Relationship Id="rId238" Type="http://schemas.openxmlformats.org/officeDocument/2006/relationships/worksheet" Target="worksheets/sheet238.xml"/><Relationship Id="rId259" Type="http://schemas.openxmlformats.org/officeDocument/2006/relationships/worksheet" Target="worksheets/sheet259.xml"/><Relationship Id="rId23" Type="http://schemas.openxmlformats.org/officeDocument/2006/relationships/worksheet" Target="worksheets/sheet23.xml"/><Relationship Id="rId119" Type="http://schemas.openxmlformats.org/officeDocument/2006/relationships/worksheet" Target="worksheets/sheet119.xml"/><Relationship Id="rId270" Type="http://schemas.openxmlformats.org/officeDocument/2006/relationships/worksheet" Target="worksheets/sheet270.xml"/><Relationship Id="rId291" Type="http://schemas.openxmlformats.org/officeDocument/2006/relationships/worksheet" Target="worksheets/sheet291.xml"/><Relationship Id="rId305" Type="http://schemas.openxmlformats.org/officeDocument/2006/relationships/worksheet" Target="worksheets/sheet305.xml"/><Relationship Id="rId326" Type="http://schemas.openxmlformats.org/officeDocument/2006/relationships/worksheet" Target="worksheets/sheet326.xml"/><Relationship Id="rId347" Type="http://schemas.openxmlformats.org/officeDocument/2006/relationships/worksheet" Target="worksheets/sheet347.xml"/><Relationship Id="rId44" Type="http://schemas.openxmlformats.org/officeDocument/2006/relationships/worksheet" Target="worksheets/sheet44.xml"/><Relationship Id="rId65" Type="http://schemas.openxmlformats.org/officeDocument/2006/relationships/worksheet" Target="worksheets/sheet65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51" Type="http://schemas.openxmlformats.org/officeDocument/2006/relationships/worksheet" Target="worksheets/sheet151.xml"/><Relationship Id="rId368" Type="http://schemas.openxmlformats.org/officeDocument/2006/relationships/worksheet" Target="worksheets/sheet368.xml"/><Relationship Id="rId389" Type="http://schemas.openxmlformats.org/officeDocument/2006/relationships/worksheet" Target="worksheets/sheet389.xml"/><Relationship Id="rId172" Type="http://schemas.openxmlformats.org/officeDocument/2006/relationships/worksheet" Target="worksheets/sheet172.xml"/><Relationship Id="rId193" Type="http://schemas.openxmlformats.org/officeDocument/2006/relationships/worksheet" Target="worksheets/sheet193.xml"/><Relationship Id="rId207" Type="http://schemas.openxmlformats.org/officeDocument/2006/relationships/worksheet" Target="worksheets/sheet207.xml"/><Relationship Id="rId228" Type="http://schemas.openxmlformats.org/officeDocument/2006/relationships/worksheet" Target="worksheets/sheet228.xml"/><Relationship Id="rId249" Type="http://schemas.openxmlformats.org/officeDocument/2006/relationships/worksheet" Target="worksheets/sheet249.xml"/><Relationship Id="rId13" Type="http://schemas.openxmlformats.org/officeDocument/2006/relationships/worksheet" Target="worksheets/sheet13.xml"/><Relationship Id="rId109" Type="http://schemas.openxmlformats.org/officeDocument/2006/relationships/worksheet" Target="worksheets/sheet109.xml"/><Relationship Id="rId260" Type="http://schemas.openxmlformats.org/officeDocument/2006/relationships/worksheet" Target="worksheets/sheet260.xml"/><Relationship Id="rId281" Type="http://schemas.openxmlformats.org/officeDocument/2006/relationships/worksheet" Target="worksheets/sheet281.xml"/><Relationship Id="rId316" Type="http://schemas.openxmlformats.org/officeDocument/2006/relationships/worksheet" Target="worksheets/sheet316.xml"/><Relationship Id="rId337" Type="http://schemas.openxmlformats.org/officeDocument/2006/relationships/worksheet" Target="worksheets/sheet337.xml"/><Relationship Id="rId34" Type="http://schemas.openxmlformats.org/officeDocument/2006/relationships/worksheet" Target="worksheets/sheet34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20" Type="http://schemas.openxmlformats.org/officeDocument/2006/relationships/worksheet" Target="worksheets/sheet120.xml"/><Relationship Id="rId141" Type="http://schemas.openxmlformats.org/officeDocument/2006/relationships/worksheet" Target="worksheets/sheet141.xml"/><Relationship Id="rId358" Type="http://schemas.openxmlformats.org/officeDocument/2006/relationships/worksheet" Target="worksheets/sheet358.xml"/><Relationship Id="rId379" Type="http://schemas.openxmlformats.org/officeDocument/2006/relationships/worksheet" Target="worksheets/sheet379.xml"/><Relationship Id="rId7" Type="http://schemas.openxmlformats.org/officeDocument/2006/relationships/worksheet" Target="worksheets/sheet7.xml"/><Relationship Id="rId162" Type="http://schemas.openxmlformats.org/officeDocument/2006/relationships/worksheet" Target="worksheets/sheet162.xml"/><Relationship Id="rId183" Type="http://schemas.openxmlformats.org/officeDocument/2006/relationships/worksheet" Target="worksheets/sheet183.xml"/><Relationship Id="rId218" Type="http://schemas.openxmlformats.org/officeDocument/2006/relationships/worksheet" Target="worksheets/sheet218.xml"/><Relationship Id="rId239" Type="http://schemas.openxmlformats.org/officeDocument/2006/relationships/worksheet" Target="worksheets/sheet239.xml"/><Relationship Id="rId390" Type="http://schemas.openxmlformats.org/officeDocument/2006/relationships/worksheet" Target="worksheets/sheet390.xml"/><Relationship Id="rId404" Type="http://schemas.openxmlformats.org/officeDocument/2006/relationships/worksheet" Target="worksheets/sheet404.xml"/><Relationship Id="rId250" Type="http://schemas.openxmlformats.org/officeDocument/2006/relationships/worksheet" Target="worksheets/sheet250.xml"/><Relationship Id="rId271" Type="http://schemas.openxmlformats.org/officeDocument/2006/relationships/worksheet" Target="worksheets/sheet271.xml"/><Relationship Id="rId292" Type="http://schemas.openxmlformats.org/officeDocument/2006/relationships/worksheet" Target="worksheets/sheet292.xml"/><Relationship Id="rId306" Type="http://schemas.openxmlformats.org/officeDocument/2006/relationships/worksheet" Target="worksheets/sheet306.xml"/><Relationship Id="rId24" Type="http://schemas.openxmlformats.org/officeDocument/2006/relationships/worksheet" Target="worksheets/sheet24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31" Type="http://schemas.openxmlformats.org/officeDocument/2006/relationships/worksheet" Target="worksheets/sheet131.xml"/><Relationship Id="rId327" Type="http://schemas.openxmlformats.org/officeDocument/2006/relationships/worksheet" Target="worksheets/sheet327.xml"/><Relationship Id="rId348" Type="http://schemas.openxmlformats.org/officeDocument/2006/relationships/worksheet" Target="worksheets/sheet348.xml"/><Relationship Id="rId369" Type="http://schemas.openxmlformats.org/officeDocument/2006/relationships/worksheet" Target="worksheets/sheet369.xml"/><Relationship Id="rId152" Type="http://schemas.openxmlformats.org/officeDocument/2006/relationships/worksheet" Target="worksheets/sheet152.xml"/><Relationship Id="rId173" Type="http://schemas.openxmlformats.org/officeDocument/2006/relationships/worksheet" Target="worksheets/sheet173.xml"/><Relationship Id="rId194" Type="http://schemas.openxmlformats.org/officeDocument/2006/relationships/worksheet" Target="worksheets/sheet194.xml"/><Relationship Id="rId208" Type="http://schemas.openxmlformats.org/officeDocument/2006/relationships/worksheet" Target="worksheets/sheet208.xml"/><Relationship Id="rId229" Type="http://schemas.openxmlformats.org/officeDocument/2006/relationships/worksheet" Target="worksheets/sheet229.xml"/><Relationship Id="rId380" Type="http://schemas.openxmlformats.org/officeDocument/2006/relationships/worksheet" Target="worksheets/sheet380.xml"/><Relationship Id="rId240" Type="http://schemas.openxmlformats.org/officeDocument/2006/relationships/worksheet" Target="worksheets/sheet240.xml"/><Relationship Id="rId261" Type="http://schemas.openxmlformats.org/officeDocument/2006/relationships/worksheet" Target="worksheets/sheet261.xml"/><Relationship Id="rId14" Type="http://schemas.openxmlformats.org/officeDocument/2006/relationships/worksheet" Target="worksheets/sheet14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282" Type="http://schemas.openxmlformats.org/officeDocument/2006/relationships/worksheet" Target="worksheets/sheet282.xml"/><Relationship Id="rId317" Type="http://schemas.openxmlformats.org/officeDocument/2006/relationships/worksheet" Target="worksheets/sheet317.xml"/><Relationship Id="rId338" Type="http://schemas.openxmlformats.org/officeDocument/2006/relationships/worksheet" Target="worksheets/sheet338.xml"/><Relationship Id="rId359" Type="http://schemas.openxmlformats.org/officeDocument/2006/relationships/worksheet" Target="worksheets/sheet359.xml"/><Relationship Id="rId8" Type="http://schemas.openxmlformats.org/officeDocument/2006/relationships/worksheet" Target="worksheets/sheet8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163" Type="http://schemas.openxmlformats.org/officeDocument/2006/relationships/worksheet" Target="worksheets/sheet163.xml"/><Relationship Id="rId184" Type="http://schemas.openxmlformats.org/officeDocument/2006/relationships/worksheet" Target="worksheets/sheet184.xml"/><Relationship Id="rId219" Type="http://schemas.openxmlformats.org/officeDocument/2006/relationships/worksheet" Target="worksheets/sheet219.xml"/><Relationship Id="rId370" Type="http://schemas.openxmlformats.org/officeDocument/2006/relationships/worksheet" Target="worksheets/sheet370.xml"/><Relationship Id="rId391" Type="http://schemas.openxmlformats.org/officeDocument/2006/relationships/worksheet" Target="worksheets/sheet391.xml"/><Relationship Id="rId405" Type="http://schemas.openxmlformats.org/officeDocument/2006/relationships/externalLink" Target="externalLinks/externalLink1.xml"/><Relationship Id="rId230" Type="http://schemas.openxmlformats.org/officeDocument/2006/relationships/worksheet" Target="worksheets/sheet230.xml"/><Relationship Id="rId251" Type="http://schemas.openxmlformats.org/officeDocument/2006/relationships/worksheet" Target="worksheets/sheet251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272" Type="http://schemas.openxmlformats.org/officeDocument/2006/relationships/worksheet" Target="worksheets/sheet272.xml"/><Relationship Id="rId293" Type="http://schemas.openxmlformats.org/officeDocument/2006/relationships/worksheet" Target="worksheets/sheet293.xml"/><Relationship Id="rId307" Type="http://schemas.openxmlformats.org/officeDocument/2006/relationships/worksheet" Target="worksheets/sheet307.xml"/><Relationship Id="rId328" Type="http://schemas.openxmlformats.org/officeDocument/2006/relationships/worksheet" Target="worksheets/sheet328.xml"/><Relationship Id="rId349" Type="http://schemas.openxmlformats.org/officeDocument/2006/relationships/worksheet" Target="worksheets/sheet349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3" Type="http://schemas.openxmlformats.org/officeDocument/2006/relationships/worksheet" Target="worksheets/sheet153.xml"/><Relationship Id="rId174" Type="http://schemas.openxmlformats.org/officeDocument/2006/relationships/worksheet" Target="worksheets/sheet174.xml"/><Relationship Id="rId195" Type="http://schemas.openxmlformats.org/officeDocument/2006/relationships/worksheet" Target="worksheets/sheet195.xml"/><Relationship Id="rId209" Type="http://schemas.openxmlformats.org/officeDocument/2006/relationships/worksheet" Target="worksheets/sheet209.xml"/><Relationship Id="rId360" Type="http://schemas.openxmlformats.org/officeDocument/2006/relationships/worksheet" Target="worksheets/sheet360.xml"/><Relationship Id="rId381" Type="http://schemas.openxmlformats.org/officeDocument/2006/relationships/worksheet" Target="worksheets/sheet381.xml"/><Relationship Id="rId220" Type="http://schemas.openxmlformats.org/officeDocument/2006/relationships/worksheet" Target="worksheets/sheet220.xml"/><Relationship Id="rId241" Type="http://schemas.openxmlformats.org/officeDocument/2006/relationships/worksheet" Target="worksheets/sheet24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262" Type="http://schemas.openxmlformats.org/officeDocument/2006/relationships/worksheet" Target="worksheets/sheet262.xml"/><Relationship Id="rId283" Type="http://schemas.openxmlformats.org/officeDocument/2006/relationships/worksheet" Target="worksheets/sheet283.xml"/><Relationship Id="rId318" Type="http://schemas.openxmlformats.org/officeDocument/2006/relationships/worksheet" Target="worksheets/sheet318.xml"/><Relationship Id="rId339" Type="http://schemas.openxmlformats.org/officeDocument/2006/relationships/worksheet" Target="worksheets/sheet339.xml"/><Relationship Id="rId78" Type="http://schemas.openxmlformats.org/officeDocument/2006/relationships/worksheet" Target="worksheets/sheet78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64" Type="http://schemas.openxmlformats.org/officeDocument/2006/relationships/worksheet" Target="worksheets/sheet164.xml"/><Relationship Id="rId185" Type="http://schemas.openxmlformats.org/officeDocument/2006/relationships/worksheet" Target="worksheets/sheet185.xml"/><Relationship Id="rId350" Type="http://schemas.openxmlformats.org/officeDocument/2006/relationships/worksheet" Target="worksheets/sheet350.xml"/><Relationship Id="rId371" Type="http://schemas.openxmlformats.org/officeDocument/2006/relationships/worksheet" Target="worksheets/sheet371.xml"/><Relationship Id="rId406" Type="http://schemas.openxmlformats.org/officeDocument/2006/relationships/theme" Target="theme/theme1.xml"/><Relationship Id="rId9" Type="http://schemas.openxmlformats.org/officeDocument/2006/relationships/worksheet" Target="worksheets/sheet9.xml"/><Relationship Id="rId210" Type="http://schemas.openxmlformats.org/officeDocument/2006/relationships/worksheet" Target="worksheets/sheet210.xml"/><Relationship Id="rId392" Type="http://schemas.openxmlformats.org/officeDocument/2006/relationships/worksheet" Target="worksheets/sheet392.xml"/><Relationship Id="rId26" Type="http://schemas.openxmlformats.org/officeDocument/2006/relationships/worksheet" Target="worksheets/sheet26.xml"/><Relationship Id="rId231" Type="http://schemas.openxmlformats.org/officeDocument/2006/relationships/worksheet" Target="worksheets/sheet231.xml"/><Relationship Id="rId252" Type="http://schemas.openxmlformats.org/officeDocument/2006/relationships/worksheet" Target="worksheets/sheet252.xml"/><Relationship Id="rId273" Type="http://schemas.openxmlformats.org/officeDocument/2006/relationships/worksheet" Target="worksheets/sheet273.xml"/><Relationship Id="rId294" Type="http://schemas.openxmlformats.org/officeDocument/2006/relationships/worksheet" Target="worksheets/sheet294.xml"/><Relationship Id="rId308" Type="http://schemas.openxmlformats.org/officeDocument/2006/relationships/worksheet" Target="worksheets/sheet308.xml"/><Relationship Id="rId329" Type="http://schemas.openxmlformats.org/officeDocument/2006/relationships/worksheet" Target="worksheets/sheet329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54" Type="http://schemas.openxmlformats.org/officeDocument/2006/relationships/worksheet" Target="worksheets/sheet154.xml"/><Relationship Id="rId175" Type="http://schemas.openxmlformats.org/officeDocument/2006/relationships/worksheet" Target="worksheets/sheet175.xml"/><Relationship Id="rId340" Type="http://schemas.openxmlformats.org/officeDocument/2006/relationships/worksheet" Target="worksheets/sheet340.xml"/><Relationship Id="rId361" Type="http://schemas.openxmlformats.org/officeDocument/2006/relationships/worksheet" Target="worksheets/sheet361.xml"/><Relationship Id="rId196" Type="http://schemas.openxmlformats.org/officeDocument/2006/relationships/worksheet" Target="worksheets/sheet196.xml"/><Relationship Id="rId200" Type="http://schemas.openxmlformats.org/officeDocument/2006/relationships/worksheet" Target="worksheets/sheet200.xml"/><Relationship Id="rId382" Type="http://schemas.openxmlformats.org/officeDocument/2006/relationships/worksheet" Target="worksheets/sheet382.xml"/><Relationship Id="rId16" Type="http://schemas.openxmlformats.org/officeDocument/2006/relationships/worksheet" Target="worksheets/sheet16.xml"/><Relationship Id="rId221" Type="http://schemas.openxmlformats.org/officeDocument/2006/relationships/worksheet" Target="worksheets/sheet221.xml"/><Relationship Id="rId242" Type="http://schemas.openxmlformats.org/officeDocument/2006/relationships/worksheet" Target="worksheets/sheet242.xml"/><Relationship Id="rId263" Type="http://schemas.openxmlformats.org/officeDocument/2006/relationships/worksheet" Target="worksheets/sheet263.xml"/><Relationship Id="rId284" Type="http://schemas.openxmlformats.org/officeDocument/2006/relationships/worksheet" Target="worksheets/sheet284.xml"/><Relationship Id="rId319" Type="http://schemas.openxmlformats.org/officeDocument/2006/relationships/worksheet" Target="worksheets/sheet319.xml"/><Relationship Id="rId37" Type="http://schemas.openxmlformats.org/officeDocument/2006/relationships/worksheet" Target="worksheets/sheet37.xml"/><Relationship Id="rId58" Type="http://schemas.openxmlformats.org/officeDocument/2006/relationships/worksheet" Target="worksheets/sheet58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44" Type="http://schemas.openxmlformats.org/officeDocument/2006/relationships/worksheet" Target="worksheets/sheet144.xml"/><Relationship Id="rId330" Type="http://schemas.openxmlformats.org/officeDocument/2006/relationships/worksheet" Target="worksheets/sheet330.xml"/><Relationship Id="rId90" Type="http://schemas.openxmlformats.org/officeDocument/2006/relationships/worksheet" Target="worksheets/sheet90.xml"/><Relationship Id="rId165" Type="http://schemas.openxmlformats.org/officeDocument/2006/relationships/worksheet" Target="worksheets/sheet165.xml"/><Relationship Id="rId186" Type="http://schemas.openxmlformats.org/officeDocument/2006/relationships/worksheet" Target="worksheets/sheet186.xml"/><Relationship Id="rId351" Type="http://schemas.openxmlformats.org/officeDocument/2006/relationships/worksheet" Target="worksheets/sheet351.xml"/><Relationship Id="rId372" Type="http://schemas.openxmlformats.org/officeDocument/2006/relationships/worksheet" Target="worksheets/sheet372.xml"/><Relationship Id="rId393" Type="http://schemas.openxmlformats.org/officeDocument/2006/relationships/worksheet" Target="worksheets/sheet393.xml"/><Relationship Id="rId407" Type="http://schemas.openxmlformats.org/officeDocument/2006/relationships/styles" Target="styles.xml"/><Relationship Id="rId211" Type="http://schemas.openxmlformats.org/officeDocument/2006/relationships/worksheet" Target="worksheets/sheet211.xml"/><Relationship Id="rId232" Type="http://schemas.openxmlformats.org/officeDocument/2006/relationships/worksheet" Target="worksheets/sheet232.xml"/><Relationship Id="rId253" Type="http://schemas.openxmlformats.org/officeDocument/2006/relationships/worksheet" Target="worksheets/sheet253.xml"/><Relationship Id="rId274" Type="http://schemas.openxmlformats.org/officeDocument/2006/relationships/worksheet" Target="worksheets/sheet274.xml"/><Relationship Id="rId295" Type="http://schemas.openxmlformats.org/officeDocument/2006/relationships/worksheet" Target="worksheets/sheet295.xml"/><Relationship Id="rId309" Type="http://schemas.openxmlformats.org/officeDocument/2006/relationships/worksheet" Target="worksheets/sheet309.xml"/><Relationship Id="rId27" Type="http://schemas.openxmlformats.org/officeDocument/2006/relationships/worksheet" Target="worksheets/sheet27.xml"/><Relationship Id="rId48" Type="http://schemas.openxmlformats.org/officeDocument/2006/relationships/worksheet" Target="worksheets/sheet48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34" Type="http://schemas.openxmlformats.org/officeDocument/2006/relationships/worksheet" Target="worksheets/sheet134.xml"/><Relationship Id="rId320" Type="http://schemas.openxmlformats.org/officeDocument/2006/relationships/worksheet" Target="worksheets/sheet320.xml"/><Relationship Id="rId80" Type="http://schemas.openxmlformats.org/officeDocument/2006/relationships/worksheet" Target="worksheets/sheet80.xml"/><Relationship Id="rId155" Type="http://schemas.openxmlformats.org/officeDocument/2006/relationships/worksheet" Target="worksheets/sheet155.xml"/><Relationship Id="rId176" Type="http://schemas.openxmlformats.org/officeDocument/2006/relationships/worksheet" Target="worksheets/sheet176.xml"/><Relationship Id="rId197" Type="http://schemas.openxmlformats.org/officeDocument/2006/relationships/worksheet" Target="worksheets/sheet197.xml"/><Relationship Id="rId341" Type="http://schemas.openxmlformats.org/officeDocument/2006/relationships/worksheet" Target="worksheets/sheet341.xml"/><Relationship Id="rId362" Type="http://schemas.openxmlformats.org/officeDocument/2006/relationships/worksheet" Target="worksheets/sheet362.xml"/><Relationship Id="rId383" Type="http://schemas.openxmlformats.org/officeDocument/2006/relationships/worksheet" Target="worksheets/sheet383.xml"/><Relationship Id="rId201" Type="http://schemas.openxmlformats.org/officeDocument/2006/relationships/worksheet" Target="worksheets/sheet201.xml"/><Relationship Id="rId222" Type="http://schemas.openxmlformats.org/officeDocument/2006/relationships/worksheet" Target="worksheets/sheet222.xml"/><Relationship Id="rId243" Type="http://schemas.openxmlformats.org/officeDocument/2006/relationships/worksheet" Target="worksheets/sheet243.xml"/><Relationship Id="rId264" Type="http://schemas.openxmlformats.org/officeDocument/2006/relationships/worksheet" Target="worksheets/sheet264.xml"/><Relationship Id="rId285" Type="http://schemas.openxmlformats.org/officeDocument/2006/relationships/worksheet" Target="worksheets/sheet285.xml"/><Relationship Id="rId17" Type="http://schemas.openxmlformats.org/officeDocument/2006/relationships/worksheet" Target="worksheets/sheet17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24" Type="http://schemas.openxmlformats.org/officeDocument/2006/relationships/worksheet" Target="worksheets/sheet124.xml"/><Relationship Id="rId310" Type="http://schemas.openxmlformats.org/officeDocument/2006/relationships/worksheet" Target="worksheets/sheet310.xml"/><Relationship Id="rId70" Type="http://schemas.openxmlformats.org/officeDocument/2006/relationships/worksheet" Target="worksheets/sheet70.xml"/><Relationship Id="rId91" Type="http://schemas.openxmlformats.org/officeDocument/2006/relationships/worksheet" Target="worksheets/sheet91.xml"/><Relationship Id="rId145" Type="http://schemas.openxmlformats.org/officeDocument/2006/relationships/worksheet" Target="worksheets/sheet145.xml"/><Relationship Id="rId166" Type="http://schemas.openxmlformats.org/officeDocument/2006/relationships/worksheet" Target="worksheets/sheet166.xml"/><Relationship Id="rId187" Type="http://schemas.openxmlformats.org/officeDocument/2006/relationships/worksheet" Target="worksheets/sheet187.xml"/><Relationship Id="rId331" Type="http://schemas.openxmlformats.org/officeDocument/2006/relationships/worksheet" Target="worksheets/sheet331.xml"/><Relationship Id="rId352" Type="http://schemas.openxmlformats.org/officeDocument/2006/relationships/worksheet" Target="worksheets/sheet352.xml"/><Relationship Id="rId373" Type="http://schemas.openxmlformats.org/officeDocument/2006/relationships/worksheet" Target="worksheets/sheet373.xml"/><Relationship Id="rId394" Type="http://schemas.openxmlformats.org/officeDocument/2006/relationships/worksheet" Target="worksheets/sheet394.xml"/><Relationship Id="rId408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212" Type="http://schemas.openxmlformats.org/officeDocument/2006/relationships/worksheet" Target="worksheets/sheet212.xml"/><Relationship Id="rId233" Type="http://schemas.openxmlformats.org/officeDocument/2006/relationships/worksheet" Target="worksheets/sheet233.xml"/><Relationship Id="rId254" Type="http://schemas.openxmlformats.org/officeDocument/2006/relationships/worksheet" Target="worksheets/sheet254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275" Type="http://schemas.openxmlformats.org/officeDocument/2006/relationships/worksheet" Target="worksheets/sheet275.xml"/><Relationship Id="rId296" Type="http://schemas.openxmlformats.org/officeDocument/2006/relationships/worksheet" Target="worksheets/sheet296.xml"/><Relationship Id="rId300" Type="http://schemas.openxmlformats.org/officeDocument/2006/relationships/worksheet" Target="worksheets/sheet300.xml"/><Relationship Id="rId60" Type="http://schemas.openxmlformats.org/officeDocument/2006/relationships/worksheet" Target="worksheets/sheet60.xml"/><Relationship Id="rId81" Type="http://schemas.openxmlformats.org/officeDocument/2006/relationships/worksheet" Target="worksheets/sheet81.xml"/><Relationship Id="rId135" Type="http://schemas.openxmlformats.org/officeDocument/2006/relationships/worksheet" Target="worksheets/sheet135.xml"/><Relationship Id="rId156" Type="http://schemas.openxmlformats.org/officeDocument/2006/relationships/worksheet" Target="worksheets/sheet156.xml"/><Relationship Id="rId177" Type="http://schemas.openxmlformats.org/officeDocument/2006/relationships/worksheet" Target="worksheets/sheet177.xml"/><Relationship Id="rId198" Type="http://schemas.openxmlformats.org/officeDocument/2006/relationships/worksheet" Target="worksheets/sheet198.xml"/><Relationship Id="rId321" Type="http://schemas.openxmlformats.org/officeDocument/2006/relationships/worksheet" Target="worksheets/sheet321.xml"/><Relationship Id="rId342" Type="http://schemas.openxmlformats.org/officeDocument/2006/relationships/worksheet" Target="worksheets/sheet342.xml"/><Relationship Id="rId363" Type="http://schemas.openxmlformats.org/officeDocument/2006/relationships/worksheet" Target="worksheets/sheet363.xml"/><Relationship Id="rId384" Type="http://schemas.openxmlformats.org/officeDocument/2006/relationships/worksheet" Target="worksheets/sheet384.xml"/><Relationship Id="rId202" Type="http://schemas.openxmlformats.org/officeDocument/2006/relationships/worksheet" Target="worksheets/sheet202.xml"/><Relationship Id="rId223" Type="http://schemas.openxmlformats.org/officeDocument/2006/relationships/worksheet" Target="worksheets/sheet223.xml"/><Relationship Id="rId244" Type="http://schemas.openxmlformats.org/officeDocument/2006/relationships/worksheet" Target="worksheets/sheet244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265" Type="http://schemas.openxmlformats.org/officeDocument/2006/relationships/worksheet" Target="worksheets/sheet265.xml"/><Relationship Id="rId286" Type="http://schemas.openxmlformats.org/officeDocument/2006/relationships/worksheet" Target="worksheets/sheet286.xml"/><Relationship Id="rId50" Type="http://schemas.openxmlformats.org/officeDocument/2006/relationships/worksheet" Target="worksheets/sheet50.xml"/><Relationship Id="rId104" Type="http://schemas.openxmlformats.org/officeDocument/2006/relationships/worksheet" Target="worksheets/sheet104.xml"/><Relationship Id="rId125" Type="http://schemas.openxmlformats.org/officeDocument/2006/relationships/worksheet" Target="worksheets/sheet125.xml"/><Relationship Id="rId146" Type="http://schemas.openxmlformats.org/officeDocument/2006/relationships/worksheet" Target="worksheets/sheet146.xml"/><Relationship Id="rId167" Type="http://schemas.openxmlformats.org/officeDocument/2006/relationships/worksheet" Target="worksheets/sheet167.xml"/><Relationship Id="rId188" Type="http://schemas.openxmlformats.org/officeDocument/2006/relationships/worksheet" Target="worksheets/sheet188.xml"/><Relationship Id="rId311" Type="http://schemas.openxmlformats.org/officeDocument/2006/relationships/worksheet" Target="worksheets/sheet311.xml"/><Relationship Id="rId332" Type="http://schemas.openxmlformats.org/officeDocument/2006/relationships/worksheet" Target="worksheets/sheet332.xml"/><Relationship Id="rId353" Type="http://schemas.openxmlformats.org/officeDocument/2006/relationships/worksheet" Target="worksheets/sheet353.xml"/><Relationship Id="rId374" Type="http://schemas.openxmlformats.org/officeDocument/2006/relationships/worksheet" Target="worksheets/sheet374.xml"/><Relationship Id="rId395" Type="http://schemas.openxmlformats.org/officeDocument/2006/relationships/worksheet" Target="worksheets/sheet395.xml"/><Relationship Id="rId409" Type="http://schemas.openxmlformats.org/officeDocument/2006/relationships/calcChain" Target="calcChain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13" Type="http://schemas.openxmlformats.org/officeDocument/2006/relationships/worksheet" Target="worksheets/sheet213.xml"/><Relationship Id="rId234" Type="http://schemas.openxmlformats.org/officeDocument/2006/relationships/worksheet" Target="worksheets/sheet234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55" Type="http://schemas.openxmlformats.org/officeDocument/2006/relationships/worksheet" Target="worksheets/sheet255.xml"/><Relationship Id="rId276" Type="http://schemas.openxmlformats.org/officeDocument/2006/relationships/worksheet" Target="worksheets/sheet276.xml"/><Relationship Id="rId297" Type="http://schemas.openxmlformats.org/officeDocument/2006/relationships/worksheet" Target="worksheets/sheet297.xml"/><Relationship Id="rId40" Type="http://schemas.openxmlformats.org/officeDocument/2006/relationships/worksheet" Target="worksheets/sheet40.xml"/><Relationship Id="rId115" Type="http://schemas.openxmlformats.org/officeDocument/2006/relationships/worksheet" Target="worksheets/sheet115.xml"/><Relationship Id="rId136" Type="http://schemas.openxmlformats.org/officeDocument/2006/relationships/worksheet" Target="worksheets/sheet136.xml"/><Relationship Id="rId157" Type="http://schemas.openxmlformats.org/officeDocument/2006/relationships/worksheet" Target="worksheets/sheet157.xml"/><Relationship Id="rId178" Type="http://schemas.openxmlformats.org/officeDocument/2006/relationships/worksheet" Target="worksheets/sheet178.xml"/><Relationship Id="rId301" Type="http://schemas.openxmlformats.org/officeDocument/2006/relationships/worksheet" Target="worksheets/sheet301.xml"/><Relationship Id="rId322" Type="http://schemas.openxmlformats.org/officeDocument/2006/relationships/worksheet" Target="worksheets/sheet322.xml"/><Relationship Id="rId343" Type="http://schemas.openxmlformats.org/officeDocument/2006/relationships/worksheet" Target="worksheets/sheet343.xml"/><Relationship Id="rId364" Type="http://schemas.openxmlformats.org/officeDocument/2006/relationships/worksheet" Target="worksheets/sheet364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9" Type="http://schemas.openxmlformats.org/officeDocument/2006/relationships/worksheet" Target="worksheets/sheet199.xml"/><Relationship Id="rId203" Type="http://schemas.openxmlformats.org/officeDocument/2006/relationships/worksheet" Target="worksheets/sheet203.xml"/><Relationship Id="rId385" Type="http://schemas.openxmlformats.org/officeDocument/2006/relationships/worksheet" Target="worksheets/sheet385.xml"/><Relationship Id="rId19" Type="http://schemas.openxmlformats.org/officeDocument/2006/relationships/worksheet" Target="worksheets/sheet19.xml"/><Relationship Id="rId224" Type="http://schemas.openxmlformats.org/officeDocument/2006/relationships/worksheet" Target="worksheets/sheet224.xml"/><Relationship Id="rId245" Type="http://schemas.openxmlformats.org/officeDocument/2006/relationships/worksheet" Target="worksheets/sheet245.xml"/><Relationship Id="rId266" Type="http://schemas.openxmlformats.org/officeDocument/2006/relationships/worksheet" Target="worksheets/sheet266.xml"/><Relationship Id="rId287" Type="http://schemas.openxmlformats.org/officeDocument/2006/relationships/worksheet" Target="worksheets/sheet287.xml"/><Relationship Id="rId30" Type="http://schemas.openxmlformats.org/officeDocument/2006/relationships/worksheet" Target="worksheets/sheet3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worksheet" Target="worksheets/sheet147.xml"/><Relationship Id="rId168" Type="http://schemas.openxmlformats.org/officeDocument/2006/relationships/worksheet" Target="worksheets/sheet168.xml"/><Relationship Id="rId312" Type="http://schemas.openxmlformats.org/officeDocument/2006/relationships/worksheet" Target="worksheets/sheet312.xml"/><Relationship Id="rId333" Type="http://schemas.openxmlformats.org/officeDocument/2006/relationships/worksheet" Target="worksheets/sheet333.xml"/><Relationship Id="rId354" Type="http://schemas.openxmlformats.org/officeDocument/2006/relationships/worksheet" Target="worksheets/sheet354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189" Type="http://schemas.openxmlformats.org/officeDocument/2006/relationships/worksheet" Target="worksheets/sheet189.xml"/><Relationship Id="rId375" Type="http://schemas.openxmlformats.org/officeDocument/2006/relationships/worksheet" Target="worksheets/sheet375.xml"/><Relationship Id="rId396" Type="http://schemas.openxmlformats.org/officeDocument/2006/relationships/worksheet" Target="worksheets/sheet396.xml"/><Relationship Id="rId3" Type="http://schemas.openxmlformats.org/officeDocument/2006/relationships/worksheet" Target="worksheets/sheet3.xml"/><Relationship Id="rId214" Type="http://schemas.openxmlformats.org/officeDocument/2006/relationships/worksheet" Target="worksheets/sheet214.xml"/><Relationship Id="rId235" Type="http://schemas.openxmlformats.org/officeDocument/2006/relationships/worksheet" Target="worksheets/sheet235.xml"/><Relationship Id="rId256" Type="http://schemas.openxmlformats.org/officeDocument/2006/relationships/worksheet" Target="worksheets/sheet256.xml"/><Relationship Id="rId277" Type="http://schemas.openxmlformats.org/officeDocument/2006/relationships/worksheet" Target="worksheets/sheet277.xml"/><Relationship Id="rId298" Type="http://schemas.openxmlformats.org/officeDocument/2006/relationships/worksheet" Target="worksheets/sheet298.xml"/><Relationship Id="rId400" Type="http://schemas.openxmlformats.org/officeDocument/2006/relationships/worksheet" Target="worksheets/sheet400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158" Type="http://schemas.openxmlformats.org/officeDocument/2006/relationships/worksheet" Target="worksheets/sheet158.xml"/><Relationship Id="rId302" Type="http://schemas.openxmlformats.org/officeDocument/2006/relationships/worksheet" Target="worksheets/sheet302.xml"/><Relationship Id="rId323" Type="http://schemas.openxmlformats.org/officeDocument/2006/relationships/worksheet" Target="worksheets/sheet323.xml"/><Relationship Id="rId344" Type="http://schemas.openxmlformats.org/officeDocument/2006/relationships/worksheet" Target="worksheets/sheet344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179" Type="http://schemas.openxmlformats.org/officeDocument/2006/relationships/worksheet" Target="worksheets/sheet179.xml"/><Relationship Id="rId365" Type="http://schemas.openxmlformats.org/officeDocument/2006/relationships/worksheet" Target="worksheets/sheet365.xml"/><Relationship Id="rId386" Type="http://schemas.openxmlformats.org/officeDocument/2006/relationships/worksheet" Target="worksheets/sheet386.xml"/><Relationship Id="rId190" Type="http://schemas.openxmlformats.org/officeDocument/2006/relationships/worksheet" Target="worksheets/sheet190.xml"/><Relationship Id="rId204" Type="http://schemas.openxmlformats.org/officeDocument/2006/relationships/worksheet" Target="worksheets/sheet204.xml"/><Relationship Id="rId225" Type="http://schemas.openxmlformats.org/officeDocument/2006/relationships/worksheet" Target="worksheets/sheet225.xml"/><Relationship Id="rId246" Type="http://schemas.openxmlformats.org/officeDocument/2006/relationships/worksheet" Target="worksheets/sheet246.xml"/><Relationship Id="rId267" Type="http://schemas.openxmlformats.org/officeDocument/2006/relationships/worksheet" Target="worksheets/sheet267.xml"/><Relationship Id="rId288" Type="http://schemas.openxmlformats.org/officeDocument/2006/relationships/worksheet" Target="worksheets/sheet288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313" Type="http://schemas.openxmlformats.org/officeDocument/2006/relationships/worksheet" Target="worksheets/sheet313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94" Type="http://schemas.openxmlformats.org/officeDocument/2006/relationships/worksheet" Target="worksheets/sheet94.xml"/><Relationship Id="rId148" Type="http://schemas.openxmlformats.org/officeDocument/2006/relationships/worksheet" Target="worksheets/sheet148.xml"/><Relationship Id="rId169" Type="http://schemas.openxmlformats.org/officeDocument/2006/relationships/worksheet" Target="worksheets/sheet169.xml"/><Relationship Id="rId334" Type="http://schemas.openxmlformats.org/officeDocument/2006/relationships/worksheet" Target="worksheets/sheet334.xml"/><Relationship Id="rId355" Type="http://schemas.openxmlformats.org/officeDocument/2006/relationships/worksheet" Target="worksheets/sheet355.xml"/><Relationship Id="rId376" Type="http://schemas.openxmlformats.org/officeDocument/2006/relationships/worksheet" Target="worksheets/sheet376.xml"/><Relationship Id="rId397" Type="http://schemas.openxmlformats.org/officeDocument/2006/relationships/worksheet" Target="worksheets/sheet397.xml"/><Relationship Id="rId4" Type="http://schemas.openxmlformats.org/officeDocument/2006/relationships/worksheet" Target="worksheets/sheet4.xml"/><Relationship Id="rId180" Type="http://schemas.openxmlformats.org/officeDocument/2006/relationships/worksheet" Target="worksheets/sheet180.xml"/><Relationship Id="rId215" Type="http://schemas.openxmlformats.org/officeDocument/2006/relationships/worksheet" Target="worksheets/sheet215.xml"/><Relationship Id="rId236" Type="http://schemas.openxmlformats.org/officeDocument/2006/relationships/worksheet" Target="worksheets/sheet236.xml"/><Relationship Id="rId257" Type="http://schemas.openxmlformats.org/officeDocument/2006/relationships/worksheet" Target="worksheets/sheet257.xml"/><Relationship Id="rId278" Type="http://schemas.openxmlformats.org/officeDocument/2006/relationships/worksheet" Target="worksheets/sheet278.xml"/><Relationship Id="rId401" Type="http://schemas.openxmlformats.org/officeDocument/2006/relationships/worksheet" Target="worksheets/sheet401.xml"/><Relationship Id="rId303" Type="http://schemas.openxmlformats.org/officeDocument/2006/relationships/worksheet" Target="worksheets/sheet303.xml"/><Relationship Id="rId42" Type="http://schemas.openxmlformats.org/officeDocument/2006/relationships/worksheet" Target="worksheets/sheet42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345" Type="http://schemas.openxmlformats.org/officeDocument/2006/relationships/worksheet" Target="worksheets/sheet345.xml"/><Relationship Id="rId387" Type="http://schemas.openxmlformats.org/officeDocument/2006/relationships/worksheet" Target="worksheets/sheet387.xml"/><Relationship Id="rId191" Type="http://schemas.openxmlformats.org/officeDocument/2006/relationships/worksheet" Target="worksheets/sheet191.xml"/><Relationship Id="rId205" Type="http://schemas.openxmlformats.org/officeDocument/2006/relationships/worksheet" Target="worksheets/sheet205.xml"/><Relationship Id="rId247" Type="http://schemas.openxmlformats.org/officeDocument/2006/relationships/worksheet" Target="worksheets/sheet247.xml"/><Relationship Id="rId107" Type="http://schemas.openxmlformats.org/officeDocument/2006/relationships/worksheet" Target="worksheets/sheet107.xml"/><Relationship Id="rId289" Type="http://schemas.openxmlformats.org/officeDocument/2006/relationships/worksheet" Target="worksheets/sheet289.xml"/><Relationship Id="rId11" Type="http://schemas.openxmlformats.org/officeDocument/2006/relationships/worksheet" Target="worksheets/sheet11.xml"/><Relationship Id="rId53" Type="http://schemas.openxmlformats.org/officeDocument/2006/relationships/worksheet" Target="worksheets/sheet53.xml"/><Relationship Id="rId149" Type="http://schemas.openxmlformats.org/officeDocument/2006/relationships/worksheet" Target="worksheets/sheet149.xml"/><Relationship Id="rId314" Type="http://schemas.openxmlformats.org/officeDocument/2006/relationships/worksheet" Target="worksheets/sheet314.xml"/><Relationship Id="rId356" Type="http://schemas.openxmlformats.org/officeDocument/2006/relationships/worksheet" Target="worksheets/sheet356.xml"/><Relationship Id="rId398" Type="http://schemas.openxmlformats.org/officeDocument/2006/relationships/worksheet" Target="worksheets/sheet39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2736558703357963"/>
          <c:y val="3.287679612082389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200" b="0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en-US"/>
        </a:p>
      </c:txPr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0963892420273236"/>
          <c:y val="0.50000012931180449"/>
          <c:w val="0.26385588735861443"/>
          <c:h val="0.18432208156833632"/>
        </c:manualLayout>
      </c:layout>
      <c:pie3DChart>
        <c:varyColors val="1"/>
        <c:ser>
          <c:idx val="0"/>
          <c:order val="0"/>
          <c:tx>
            <c:strRef>
              <c:f>'[1]Cost Summary'!$B$6</c:f>
              <c:strCache>
                <c:ptCount val="1"/>
                <c:pt idx="0">
                  <c:v>Area Totals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explosion val="25"/>
          <c:dPt>
            <c:idx val="0"/>
            <c:bubble3D val="0"/>
            <c:spPr>
              <a:solidFill>
                <a:srgbClr val="99CCFF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1"/>
            <c:bubble3D val="0"/>
            <c:spPr>
              <a:solidFill>
                <a:srgbClr val="CCFFCC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2"/>
            <c:bubble3D val="0"/>
            <c:spPr>
              <a:solidFill>
                <a:srgbClr val="FF99CC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3"/>
            <c:bubble3D val="0"/>
            <c:spPr>
              <a:solidFill>
                <a:srgbClr val="FFCC99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4"/>
            <c:bubble3D val="0"/>
            <c:spPr>
              <a:solidFill>
                <a:srgbClr val="CC99FF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5"/>
            <c:bubble3D val="0"/>
            <c:spPr>
              <a:solidFill>
                <a:srgbClr val="FF9900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6"/>
            <c:bubble3D val="0"/>
            <c:spPr>
              <a:solidFill>
                <a:srgbClr val="FFFF00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7"/>
            <c:bubble3D val="0"/>
            <c:spPr>
              <a:solidFill>
                <a:srgbClr val="CCCCFF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Lbls>
            <c:numFmt formatCode="0%" sourceLinked="0"/>
            <c:spPr>
              <a:noFill/>
              <a:ln w="25400">
                <a:noFill/>
              </a:ln>
            </c:spPr>
            <c:txPr>
              <a:bodyPr/>
              <a:lstStyle/>
              <a:p>
                <a:pPr>
                  <a:defRPr sz="12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'[1]Cost Summary'!$C$7:$C$14</c:f>
              <c:strCache>
                <c:ptCount val="8"/>
                <c:pt idx="0">
                  <c:v>Brake System</c:v>
                </c:pt>
                <c:pt idx="1">
                  <c:v>Engine &amp; Drivetrain</c:v>
                </c:pt>
                <c:pt idx="2">
                  <c:v>Frame &amp; Body</c:v>
                </c:pt>
                <c:pt idx="3">
                  <c:v>Instruments &amp; Wiring</c:v>
                </c:pt>
                <c:pt idx="4">
                  <c:v>Miscellaneous, Fit &amp; Finish</c:v>
                </c:pt>
                <c:pt idx="5">
                  <c:v>Steering System</c:v>
                </c:pt>
                <c:pt idx="6">
                  <c:v>Suspension &amp; Shocks</c:v>
                </c:pt>
                <c:pt idx="7">
                  <c:v>Wheels &amp; Tires</c:v>
                </c:pt>
              </c:strCache>
            </c:strRef>
          </c:cat>
          <c:val>
            <c:numRef>
              <c:f>'[1]Cost Summary'!$H$7:$H$14</c:f>
              <c:numCache>
                <c:formatCode>General</c:formatCode>
                <c:ptCount val="8"/>
                <c:pt idx="0">
                  <c:v>1133.8600000000001</c:v>
                </c:pt>
                <c:pt idx="1">
                  <c:v>4569.7700000000013</c:v>
                </c:pt>
                <c:pt idx="2">
                  <c:v>4098.3899999999985</c:v>
                </c:pt>
                <c:pt idx="3">
                  <c:v>1432.3899999999996</c:v>
                </c:pt>
                <c:pt idx="4">
                  <c:v>514.84100000000001</c:v>
                </c:pt>
                <c:pt idx="5">
                  <c:v>265.65999999999997</c:v>
                </c:pt>
                <c:pt idx="6">
                  <c:v>3249.4400000000019</c:v>
                </c:pt>
                <c:pt idx="7">
                  <c:v>2332.7200000000003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65717369326022634"/>
          <c:y val="0.33262711864406785"/>
          <c:w val="0.32911430237105999"/>
          <c:h val="0.44067796610169491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0" b="0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en-US"/>
        </a:p>
      </c:txPr>
    </c:legend>
    <c:plotVisOnly val="1"/>
    <c:dispBlanksAs val="zero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2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  <c:printSettings>
    <c:headerFooter alignWithMargins="0"/>
    <c:pageMargins b="1" l="0.75000000000000366" r="0.75000000000000366" t="1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emf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emf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emf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emf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emf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emf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chart" Target="../charts/chart1.xml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eg"/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emf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emf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emf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emf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emf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emf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jpe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jpe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jpe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jpe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jpe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jpe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jpe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jpe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jpe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jpe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jpe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jpe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jpe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jpe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jpe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jpe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655320</xdr:colOff>
      <xdr:row>23</xdr:row>
      <xdr:rowOff>167640</xdr:rowOff>
    </xdr:to>
    <xdr:pic>
      <xdr:nvPicPr>
        <xdr:cNvPr id="75795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995160" cy="43738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114300</xdr:colOff>
      <xdr:row>24</xdr:row>
      <xdr:rowOff>144780</xdr:rowOff>
    </xdr:to>
    <xdr:pic>
      <xdr:nvPicPr>
        <xdr:cNvPr id="24598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454140" cy="45339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205740</xdr:colOff>
      <xdr:row>31</xdr:row>
      <xdr:rowOff>144780</xdr:rowOff>
    </xdr:from>
    <xdr:to>
      <xdr:col>7</xdr:col>
      <xdr:colOff>868680</xdr:colOff>
      <xdr:row>50</xdr:row>
      <xdr:rowOff>175260</xdr:rowOff>
    </xdr:to>
    <xdr:pic>
      <xdr:nvPicPr>
        <xdr:cNvPr id="133136" name="Image 1" descr="C:\Users\Yoann\AppData\Local\Microsoft\Windows\INetCache\Content.Word\Integration 2014-02-13 18-12-20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11969" r="19450" b="7997"/>
        <a:stretch>
          <a:fillRect/>
        </a:stretch>
      </xdr:blipFill>
      <xdr:spPr bwMode="auto">
        <a:xfrm>
          <a:off x="5181600" y="5821680"/>
          <a:ext cx="3840480" cy="350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289560</xdr:colOff>
      <xdr:row>8</xdr:row>
      <xdr:rowOff>0</xdr:rowOff>
    </xdr:from>
    <xdr:to>
      <xdr:col>11</xdr:col>
      <xdr:colOff>0</xdr:colOff>
      <xdr:row>20</xdr:row>
      <xdr:rowOff>45720</xdr:rowOff>
    </xdr:to>
    <xdr:pic>
      <xdr:nvPicPr>
        <xdr:cNvPr id="135186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585960" y="1463040"/>
          <a:ext cx="2697480" cy="22402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586740</xdr:colOff>
      <xdr:row>13</xdr:row>
      <xdr:rowOff>60960</xdr:rowOff>
    </xdr:from>
    <xdr:to>
      <xdr:col>13</xdr:col>
      <xdr:colOff>304800</xdr:colOff>
      <xdr:row>47</xdr:row>
      <xdr:rowOff>83820</xdr:rowOff>
    </xdr:to>
    <xdr:pic>
      <xdr:nvPicPr>
        <xdr:cNvPr id="139280" name="Picture 478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555980" y="2621280"/>
          <a:ext cx="3116580" cy="62407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2865120</xdr:colOff>
      <xdr:row>28</xdr:row>
      <xdr:rowOff>91440</xdr:rowOff>
    </xdr:from>
    <xdr:to>
      <xdr:col>7</xdr:col>
      <xdr:colOff>213360</xdr:colOff>
      <xdr:row>48</xdr:row>
      <xdr:rowOff>30480</xdr:rowOff>
    </xdr:to>
    <xdr:pic>
      <xdr:nvPicPr>
        <xdr:cNvPr id="14235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370320" y="5394960"/>
          <a:ext cx="5227320" cy="35966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403860</xdr:colOff>
      <xdr:row>13</xdr:row>
      <xdr:rowOff>213360</xdr:rowOff>
    </xdr:from>
    <xdr:to>
      <xdr:col>12</xdr:col>
      <xdr:colOff>1066800</xdr:colOff>
      <xdr:row>34</xdr:row>
      <xdr:rowOff>76200</xdr:rowOff>
    </xdr:to>
    <xdr:pic>
      <xdr:nvPicPr>
        <xdr:cNvPr id="143376" name="Picture 350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20097" r="35027"/>
        <a:stretch>
          <a:fillRect/>
        </a:stretch>
      </xdr:blipFill>
      <xdr:spPr bwMode="auto">
        <a:xfrm>
          <a:off x="14089380" y="2773680"/>
          <a:ext cx="1440180" cy="40919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830580</xdr:colOff>
      <xdr:row>34</xdr:row>
      <xdr:rowOff>38100</xdr:rowOff>
    </xdr:from>
    <xdr:to>
      <xdr:col>7</xdr:col>
      <xdr:colOff>266700</xdr:colOff>
      <xdr:row>56</xdr:row>
      <xdr:rowOff>106680</xdr:rowOff>
    </xdr:to>
    <xdr:pic>
      <xdr:nvPicPr>
        <xdr:cNvPr id="144400" name="Picture 31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335780" y="7002780"/>
          <a:ext cx="5471160" cy="40919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60960</xdr:colOff>
      <xdr:row>14</xdr:row>
      <xdr:rowOff>22860</xdr:rowOff>
    </xdr:from>
    <xdr:to>
      <xdr:col>13</xdr:col>
      <xdr:colOff>396240</xdr:colOff>
      <xdr:row>31</xdr:row>
      <xdr:rowOff>114300</xdr:rowOff>
    </xdr:to>
    <xdr:pic>
      <xdr:nvPicPr>
        <xdr:cNvPr id="14747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4135100" y="2766060"/>
          <a:ext cx="2781300" cy="32232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28</xdr:row>
      <xdr:rowOff>0</xdr:rowOff>
    </xdr:from>
    <xdr:to>
      <xdr:col>6</xdr:col>
      <xdr:colOff>434340</xdr:colOff>
      <xdr:row>44</xdr:row>
      <xdr:rowOff>7620</xdr:rowOff>
    </xdr:to>
    <xdr:pic>
      <xdr:nvPicPr>
        <xdr:cNvPr id="14849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263640" y="5349240"/>
          <a:ext cx="2781300" cy="2933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1562100</xdr:colOff>
      <xdr:row>29</xdr:row>
      <xdr:rowOff>137160</xdr:rowOff>
    </xdr:from>
    <xdr:to>
      <xdr:col>8</xdr:col>
      <xdr:colOff>1257300</xdr:colOff>
      <xdr:row>44</xdr:row>
      <xdr:rowOff>60960</xdr:rowOff>
    </xdr:to>
    <xdr:pic>
      <xdr:nvPicPr>
        <xdr:cNvPr id="14952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547360" y="5463540"/>
          <a:ext cx="8564880" cy="2667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205740</xdr:colOff>
      <xdr:row>20</xdr:row>
      <xdr:rowOff>22860</xdr:rowOff>
    </xdr:from>
    <xdr:to>
      <xdr:col>7</xdr:col>
      <xdr:colOff>647700</xdr:colOff>
      <xdr:row>41</xdr:row>
      <xdr:rowOff>99060</xdr:rowOff>
    </xdr:to>
    <xdr:graphicFrame macro="">
      <xdr:nvGraphicFramePr>
        <xdr:cNvPr id="76831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76200</xdr:colOff>
      <xdr:row>1</xdr:row>
      <xdr:rowOff>137160</xdr:rowOff>
    </xdr:from>
    <xdr:to>
      <xdr:col>7</xdr:col>
      <xdr:colOff>617220</xdr:colOff>
      <xdr:row>4</xdr:row>
      <xdr:rowOff>160020</xdr:rowOff>
    </xdr:to>
    <xdr:pic>
      <xdr:nvPicPr>
        <xdr:cNvPr id="76832" name="Image 1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07480" y="304800"/>
          <a:ext cx="1798320" cy="6172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28</xdr:row>
      <xdr:rowOff>0</xdr:rowOff>
    </xdr:from>
    <xdr:to>
      <xdr:col>12</xdr:col>
      <xdr:colOff>480060</xdr:colOff>
      <xdr:row>41</xdr:row>
      <xdr:rowOff>38100</xdr:rowOff>
    </xdr:to>
    <xdr:pic>
      <xdr:nvPicPr>
        <xdr:cNvPr id="157713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660380" y="5120640"/>
          <a:ext cx="1775460" cy="29641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1524000</xdr:colOff>
      <xdr:row>35</xdr:row>
      <xdr:rowOff>152400</xdr:rowOff>
    </xdr:from>
    <xdr:to>
      <xdr:col>7</xdr:col>
      <xdr:colOff>632460</xdr:colOff>
      <xdr:row>49</xdr:row>
      <xdr:rowOff>160020</xdr:rowOff>
    </xdr:to>
    <xdr:pic>
      <xdr:nvPicPr>
        <xdr:cNvPr id="163856" name="Image 1" descr="gfredza.pn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008120" y="6736080"/>
          <a:ext cx="4655820" cy="25679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601980</xdr:colOff>
      <xdr:row>26</xdr:row>
      <xdr:rowOff>281940</xdr:rowOff>
    </xdr:from>
    <xdr:to>
      <xdr:col>14</xdr:col>
      <xdr:colOff>167640</xdr:colOff>
      <xdr:row>43</xdr:row>
      <xdr:rowOff>76200</xdr:rowOff>
    </xdr:to>
    <xdr:pic>
      <xdr:nvPicPr>
        <xdr:cNvPr id="164895" name="Image 1" descr="Commande boite.PN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146280" y="5257800"/>
          <a:ext cx="4229100" cy="36347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182880</xdr:colOff>
      <xdr:row>59</xdr:row>
      <xdr:rowOff>76200</xdr:rowOff>
    </xdr:from>
    <xdr:to>
      <xdr:col>5</xdr:col>
      <xdr:colOff>220980</xdr:colOff>
      <xdr:row>85</xdr:row>
      <xdr:rowOff>106680</xdr:rowOff>
    </xdr:to>
    <xdr:pic>
      <xdr:nvPicPr>
        <xdr:cNvPr id="164896" name="Image 2" descr="DSC_5099.JPG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406140" y="13449300"/>
          <a:ext cx="3931920" cy="47853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160020</xdr:colOff>
      <xdr:row>25</xdr:row>
      <xdr:rowOff>152400</xdr:rowOff>
    </xdr:from>
    <xdr:to>
      <xdr:col>9</xdr:col>
      <xdr:colOff>243840</xdr:colOff>
      <xdr:row>38</xdr:row>
      <xdr:rowOff>144780</xdr:rowOff>
    </xdr:to>
    <xdr:pic>
      <xdr:nvPicPr>
        <xdr:cNvPr id="167952" name="Image 1" descr="vérin d2.PN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792980" y="6004560"/>
          <a:ext cx="5052060" cy="23698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792480</xdr:colOff>
      <xdr:row>31</xdr:row>
      <xdr:rowOff>144780</xdr:rowOff>
    </xdr:from>
    <xdr:to>
      <xdr:col>7</xdr:col>
      <xdr:colOff>487680</xdr:colOff>
      <xdr:row>48</xdr:row>
      <xdr:rowOff>38100</xdr:rowOff>
    </xdr:to>
    <xdr:pic>
      <xdr:nvPicPr>
        <xdr:cNvPr id="18945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848100" y="6911340"/>
          <a:ext cx="5486400" cy="30022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22860</xdr:colOff>
      <xdr:row>27</xdr:row>
      <xdr:rowOff>106680</xdr:rowOff>
    </xdr:from>
    <xdr:to>
      <xdr:col>7</xdr:col>
      <xdr:colOff>91440</xdr:colOff>
      <xdr:row>38</xdr:row>
      <xdr:rowOff>167640</xdr:rowOff>
    </xdr:to>
    <xdr:pic>
      <xdr:nvPicPr>
        <xdr:cNvPr id="19048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948940" y="6141720"/>
          <a:ext cx="5425440" cy="20726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685800</xdr:colOff>
      <xdr:row>23</xdr:row>
      <xdr:rowOff>175260</xdr:rowOff>
    </xdr:to>
    <xdr:pic>
      <xdr:nvPicPr>
        <xdr:cNvPr id="26645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233160" cy="43815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228600</xdr:colOff>
      <xdr:row>31</xdr:row>
      <xdr:rowOff>76200</xdr:rowOff>
    </xdr:from>
    <xdr:to>
      <xdr:col>13</xdr:col>
      <xdr:colOff>312420</xdr:colOff>
      <xdr:row>40</xdr:row>
      <xdr:rowOff>15240</xdr:rowOff>
    </xdr:to>
    <xdr:pic>
      <xdr:nvPicPr>
        <xdr:cNvPr id="19457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759440" y="5745480"/>
          <a:ext cx="2811780" cy="15849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601980</xdr:colOff>
      <xdr:row>26</xdr:row>
      <xdr:rowOff>129540</xdr:rowOff>
    </xdr:to>
    <xdr:pic>
      <xdr:nvPicPr>
        <xdr:cNvPr id="46100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941820" cy="488442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723900</xdr:colOff>
      <xdr:row>30</xdr:row>
      <xdr:rowOff>121920</xdr:rowOff>
    </xdr:from>
    <xdr:to>
      <xdr:col>13</xdr:col>
      <xdr:colOff>617220</xdr:colOff>
      <xdr:row>46</xdr:row>
      <xdr:rowOff>60960</xdr:rowOff>
    </xdr:to>
    <xdr:pic>
      <xdr:nvPicPr>
        <xdr:cNvPr id="195610" name="Image 2" descr="75970_709166589128712_480464007_n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117580" y="5608320"/>
          <a:ext cx="3093720" cy="28651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381000</xdr:colOff>
      <xdr:row>25</xdr:row>
      <xdr:rowOff>121920</xdr:rowOff>
    </xdr:to>
    <xdr:pic>
      <xdr:nvPicPr>
        <xdr:cNvPr id="2070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720840" cy="469392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2529840</xdr:colOff>
      <xdr:row>32</xdr:row>
      <xdr:rowOff>60960</xdr:rowOff>
    </xdr:from>
    <xdr:to>
      <xdr:col>6</xdr:col>
      <xdr:colOff>944880</xdr:colOff>
      <xdr:row>55</xdr:row>
      <xdr:rowOff>22860</xdr:rowOff>
    </xdr:to>
    <xdr:pic>
      <xdr:nvPicPr>
        <xdr:cNvPr id="21812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225540" y="6278880"/>
          <a:ext cx="3832860" cy="41681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556260</xdr:colOff>
      <xdr:row>28</xdr:row>
      <xdr:rowOff>60960</xdr:rowOff>
    </xdr:from>
    <xdr:to>
      <xdr:col>6</xdr:col>
      <xdr:colOff>1165860</xdr:colOff>
      <xdr:row>52</xdr:row>
      <xdr:rowOff>121920</xdr:rowOff>
    </xdr:to>
    <xdr:pic>
      <xdr:nvPicPr>
        <xdr:cNvPr id="21915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267200" y="5547360"/>
          <a:ext cx="6027420" cy="44500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121920</xdr:colOff>
      <xdr:row>31</xdr:row>
      <xdr:rowOff>68580</xdr:rowOff>
    </xdr:from>
    <xdr:to>
      <xdr:col>8</xdr:col>
      <xdr:colOff>373380</xdr:colOff>
      <xdr:row>55</xdr:row>
      <xdr:rowOff>15240</xdr:rowOff>
    </xdr:to>
    <xdr:pic>
      <xdr:nvPicPr>
        <xdr:cNvPr id="22017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870960" y="5920740"/>
          <a:ext cx="7795260" cy="43357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952500</xdr:colOff>
      <xdr:row>34</xdr:row>
      <xdr:rowOff>106680</xdr:rowOff>
    </xdr:from>
    <xdr:to>
      <xdr:col>7</xdr:col>
      <xdr:colOff>289560</xdr:colOff>
      <xdr:row>60</xdr:row>
      <xdr:rowOff>91440</xdr:rowOff>
    </xdr:to>
    <xdr:pic>
      <xdr:nvPicPr>
        <xdr:cNvPr id="22120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450580" y="6690360"/>
          <a:ext cx="2727960" cy="47396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769620</xdr:colOff>
      <xdr:row>24</xdr:row>
      <xdr:rowOff>83820</xdr:rowOff>
    </xdr:to>
    <xdr:pic>
      <xdr:nvPicPr>
        <xdr:cNvPr id="64532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316980" cy="447294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198120</xdr:colOff>
      <xdr:row>37</xdr:row>
      <xdr:rowOff>205740</xdr:rowOff>
    </xdr:from>
    <xdr:to>
      <xdr:col>13</xdr:col>
      <xdr:colOff>419100</xdr:colOff>
      <xdr:row>47</xdr:row>
      <xdr:rowOff>76200</xdr:rowOff>
    </xdr:to>
    <xdr:pic>
      <xdr:nvPicPr>
        <xdr:cNvPr id="222224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456420" y="8663940"/>
          <a:ext cx="3223260" cy="26136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297180</xdr:colOff>
      <xdr:row>19</xdr:row>
      <xdr:rowOff>38100</xdr:rowOff>
    </xdr:from>
    <xdr:to>
      <xdr:col>13</xdr:col>
      <xdr:colOff>259080</xdr:colOff>
      <xdr:row>29</xdr:row>
      <xdr:rowOff>106680</xdr:rowOff>
    </xdr:to>
    <xdr:pic>
      <xdr:nvPicPr>
        <xdr:cNvPr id="226320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700260" y="4061460"/>
          <a:ext cx="2964180" cy="2628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670560</xdr:colOff>
      <xdr:row>23</xdr:row>
      <xdr:rowOff>175260</xdr:rowOff>
    </xdr:to>
    <xdr:pic>
      <xdr:nvPicPr>
        <xdr:cNvPr id="65556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217920" cy="43815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175260</xdr:colOff>
      <xdr:row>26</xdr:row>
      <xdr:rowOff>60960</xdr:rowOff>
    </xdr:from>
    <xdr:to>
      <xdr:col>14</xdr:col>
      <xdr:colOff>22860</xdr:colOff>
      <xdr:row>35</xdr:row>
      <xdr:rowOff>7620</xdr:rowOff>
    </xdr:to>
    <xdr:pic>
      <xdr:nvPicPr>
        <xdr:cNvPr id="239632" name="Image 3" descr="Image2.pn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170920" y="5204460"/>
          <a:ext cx="3848100" cy="2506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480060</xdr:colOff>
      <xdr:row>60</xdr:row>
      <xdr:rowOff>38100</xdr:rowOff>
    </xdr:from>
    <xdr:to>
      <xdr:col>9</xdr:col>
      <xdr:colOff>167640</xdr:colOff>
      <xdr:row>79</xdr:row>
      <xdr:rowOff>114300</xdr:rowOff>
    </xdr:to>
    <xdr:pic>
      <xdr:nvPicPr>
        <xdr:cNvPr id="242718" name="Image 2" descr="triangles avant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265420" y="12854940"/>
          <a:ext cx="5897880" cy="35509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297180</xdr:colOff>
      <xdr:row>33</xdr:row>
      <xdr:rowOff>60960</xdr:rowOff>
    </xdr:from>
    <xdr:to>
      <xdr:col>13</xdr:col>
      <xdr:colOff>335280</xdr:colOff>
      <xdr:row>48</xdr:row>
      <xdr:rowOff>45720</xdr:rowOff>
    </xdr:to>
    <xdr:pic>
      <xdr:nvPicPr>
        <xdr:cNvPr id="82960" name="Image 1" descr="ffzz.pn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980420" y="6644640"/>
          <a:ext cx="3444240" cy="36423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609600</xdr:colOff>
      <xdr:row>55</xdr:row>
      <xdr:rowOff>175260</xdr:rowOff>
    </xdr:from>
    <xdr:to>
      <xdr:col>7</xdr:col>
      <xdr:colOff>7620</xdr:colOff>
      <xdr:row>79</xdr:row>
      <xdr:rowOff>167640</xdr:rowOff>
    </xdr:to>
    <xdr:pic>
      <xdr:nvPicPr>
        <xdr:cNvPr id="247838" name="Image 3" descr="triangles arrières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623060" y="11894820"/>
          <a:ext cx="6896100" cy="438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487680</xdr:colOff>
      <xdr:row>31</xdr:row>
      <xdr:rowOff>121920</xdr:rowOff>
    </xdr:from>
    <xdr:to>
      <xdr:col>13</xdr:col>
      <xdr:colOff>419100</xdr:colOff>
      <xdr:row>42</xdr:row>
      <xdr:rowOff>114300</xdr:rowOff>
    </xdr:to>
    <xdr:pic>
      <xdr:nvPicPr>
        <xdr:cNvPr id="253968" name="Image 1" descr="tr ar sup.PN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734800" y="6377940"/>
          <a:ext cx="3208020" cy="23698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2880360</xdr:colOff>
      <xdr:row>27</xdr:row>
      <xdr:rowOff>91440</xdr:rowOff>
    </xdr:from>
    <xdr:to>
      <xdr:col>8</xdr:col>
      <xdr:colOff>304800</xdr:colOff>
      <xdr:row>45</xdr:row>
      <xdr:rowOff>83820</xdr:rowOff>
    </xdr:to>
    <xdr:pic>
      <xdr:nvPicPr>
        <xdr:cNvPr id="267280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577840" y="5577840"/>
          <a:ext cx="4724400" cy="32842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1371600</xdr:colOff>
      <xdr:row>44</xdr:row>
      <xdr:rowOff>15240</xdr:rowOff>
    </xdr:from>
    <xdr:to>
      <xdr:col>6</xdr:col>
      <xdr:colOff>723900</xdr:colOff>
      <xdr:row>56</xdr:row>
      <xdr:rowOff>137160</xdr:rowOff>
    </xdr:to>
    <xdr:pic>
      <xdr:nvPicPr>
        <xdr:cNvPr id="268304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901440" y="8061960"/>
          <a:ext cx="5105400" cy="23164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53340</xdr:colOff>
      <xdr:row>9</xdr:row>
      <xdr:rowOff>106680</xdr:rowOff>
    </xdr:from>
    <xdr:to>
      <xdr:col>14</xdr:col>
      <xdr:colOff>259080</xdr:colOff>
      <xdr:row>25</xdr:row>
      <xdr:rowOff>60960</xdr:rowOff>
    </xdr:to>
    <xdr:pic>
      <xdr:nvPicPr>
        <xdr:cNvPr id="275472" name="Image 1" descr="Image1.pn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854940" y="1752600"/>
          <a:ext cx="3497580" cy="28727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541020</xdr:colOff>
      <xdr:row>13</xdr:row>
      <xdr:rowOff>99060</xdr:rowOff>
    </xdr:from>
    <xdr:to>
      <xdr:col>15</xdr:col>
      <xdr:colOff>388620</xdr:colOff>
      <xdr:row>29</xdr:row>
      <xdr:rowOff>129540</xdr:rowOff>
    </xdr:to>
    <xdr:pic>
      <xdr:nvPicPr>
        <xdr:cNvPr id="276496" name="Image 1" descr="Capture.PN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216640" y="2659380"/>
          <a:ext cx="4709160" cy="31394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1211580</xdr:colOff>
      <xdr:row>43</xdr:row>
      <xdr:rowOff>144780</xdr:rowOff>
    </xdr:from>
    <xdr:to>
      <xdr:col>6</xdr:col>
      <xdr:colOff>175260</xdr:colOff>
      <xdr:row>54</xdr:row>
      <xdr:rowOff>137160</xdr:rowOff>
    </xdr:to>
    <xdr:pic>
      <xdr:nvPicPr>
        <xdr:cNvPr id="279568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649980" y="8008620"/>
          <a:ext cx="4427220" cy="20040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13</xdr:row>
      <xdr:rowOff>0</xdr:rowOff>
    </xdr:from>
    <xdr:to>
      <xdr:col>12</xdr:col>
      <xdr:colOff>144780</xdr:colOff>
      <xdr:row>23</xdr:row>
      <xdr:rowOff>30480</xdr:rowOff>
    </xdr:to>
    <xdr:pic>
      <xdr:nvPicPr>
        <xdr:cNvPr id="283665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340340" y="2560320"/>
          <a:ext cx="1638300" cy="27736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914400</xdr:colOff>
      <xdr:row>11</xdr:row>
      <xdr:rowOff>175260</xdr:rowOff>
    </xdr:from>
    <xdr:to>
      <xdr:col>13</xdr:col>
      <xdr:colOff>624840</xdr:colOff>
      <xdr:row>27</xdr:row>
      <xdr:rowOff>68580</xdr:rowOff>
    </xdr:to>
    <xdr:pic>
      <xdr:nvPicPr>
        <xdr:cNvPr id="288785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447020" y="2369820"/>
          <a:ext cx="3108960" cy="37338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320040</xdr:colOff>
      <xdr:row>25</xdr:row>
      <xdr:rowOff>53340</xdr:rowOff>
    </xdr:to>
    <xdr:pic>
      <xdr:nvPicPr>
        <xdr:cNvPr id="6658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659880" cy="462534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411480</xdr:colOff>
      <xdr:row>27</xdr:row>
      <xdr:rowOff>160020</xdr:rowOff>
    </xdr:to>
    <xdr:pic>
      <xdr:nvPicPr>
        <xdr:cNvPr id="4118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7543800" cy="50977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13</xdr:row>
      <xdr:rowOff>0</xdr:rowOff>
    </xdr:from>
    <xdr:to>
      <xdr:col>12</xdr:col>
      <xdr:colOff>853440</xdr:colOff>
      <xdr:row>18</xdr:row>
      <xdr:rowOff>160020</xdr:rowOff>
    </xdr:to>
    <xdr:pic>
      <xdr:nvPicPr>
        <xdr:cNvPr id="293905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005060" y="2560320"/>
          <a:ext cx="2346960" cy="198882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464820</xdr:colOff>
      <xdr:row>38</xdr:row>
      <xdr:rowOff>60960</xdr:rowOff>
    </xdr:to>
    <xdr:pic>
      <xdr:nvPicPr>
        <xdr:cNvPr id="103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9974580" cy="70104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38100</xdr:colOff>
      <xdr:row>24</xdr:row>
      <xdr:rowOff>68580</xdr:rowOff>
    </xdr:to>
    <xdr:pic>
      <xdr:nvPicPr>
        <xdr:cNvPr id="820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377940" cy="44577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38100</xdr:colOff>
      <xdr:row>24</xdr:row>
      <xdr:rowOff>99060</xdr:rowOff>
    </xdr:to>
    <xdr:pic>
      <xdr:nvPicPr>
        <xdr:cNvPr id="922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377940" cy="44881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7620</xdr:colOff>
      <xdr:row>24</xdr:row>
      <xdr:rowOff>106680</xdr:rowOff>
    </xdr:to>
    <xdr:pic>
      <xdr:nvPicPr>
        <xdr:cNvPr id="10251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347460" cy="44958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30480</xdr:colOff>
      <xdr:row>24</xdr:row>
      <xdr:rowOff>76200</xdr:rowOff>
    </xdr:to>
    <xdr:pic>
      <xdr:nvPicPr>
        <xdr:cNvPr id="1127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370320" cy="446532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38100</xdr:colOff>
      <xdr:row>24</xdr:row>
      <xdr:rowOff>114300</xdr:rowOff>
    </xdr:to>
    <xdr:pic>
      <xdr:nvPicPr>
        <xdr:cNvPr id="2151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377940" cy="450342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15240</xdr:colOff>
      <xdr:row>24</xdr:row>
      <xdr:rowOff>106680</xdr:rowOff>
    </xdr:to>
    <xdr:pic>
      <xdr:nvPicPr>
        <xdr:cNvPr id="1946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355080" cy="44958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213360</xdr:colOff>
      <xdr:row>38</xdr:row>
      <xdr:rowOff>129540</xdr:rowOff>
    </xdr:to>
    <xdr:pic>
      <xdr:nvPicPr>
        <xdr:cNvPr id="20491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4968240" cy="70789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426720</xdr:colOff>
      <xdr:row>39</xdr:row>
      <xdr:rowOff>121920</xdr:rowOff>
    </xdr:to>
    <xdr:pic>
      <xdr:nvPicPr>
        <xdr:cNvPr id="296976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5974080" cy="72542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731520</xdr:colOff>
      <xdr:row>28</xdr:row>
      <xdr:rowOff>91440</xdr:rowOff>
    </xdr:from>
    <xdr:to>
      <xdr:col>8</xdr:col>
      <xdr:colOff>640080</xdr:colOff>
      <xdr:row>45</xdr:row>
      <xdr:rowOff>76200</xdr:rowOff>
    </xdr:to>
    <xdr:pic>
      <xdr:nvPicPr>
        <xdr:cNvPr id="89104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663440" y="5600700"/>
          <a:ext cx="4526280" cy="30937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152400</xdr:colOff>
      <xdr:row>38</xdr:row>
      <xdr:rowOff>106680</xdr:rowOff>
    </xdr:to>
    <xdr:pic>
      <xdr:nvPicPr>
        <xdr:cNvPr id="298000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5699760" cy="70561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358140</xdr:colOff>
      <xdr:row>40</xdr:row>
      <xdr:rowOff>160020</xdr:rowOff>
    </xdr:to>
    <xdr:pic>
      <xdr:nvPicPr>
        <xdr:cNvPr id="299024" name="Image 1" descr="Support diff v2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0660380" cy="74752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152400</xdr:colOff>
      <xdr:row>37</xdr:row>
      <xdr:rowOff>68580</xdr:rowOff>
    </xdr:to>
    <xdr:pic>
      <xdr:nvPicPr>
        <xdr:cNvPr id="300048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0454640" cy="68351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152400</xdr:colOff>
      <xdr:row>37</xdr:row>
      <xdr:rowOff>68580</xdr:rowOff>
    </xdr:to>
    <xdr:pic>
      <xdr:nvPicPr>
        <xdr:cNvPr id="301072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0454640" cy="68351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152400</xdr:rowOff>
    </xdr:from>
    <xdr:to>
      <xdr:col>10</xdr:col>
      <xdr:colOff>762000</xdr:colOff>
      <xdr:row>31</xdr:row>
      <xdr:rowOff>152400</xdr:rowOff>
    </xdr:to>
    <xdr:pic>
      <xdr:nvPicPr>
        <xdr:cNvPr id="302096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52400"/>
          <a:ext cx="8686800" cy="56692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45720</xdr:rowOff>
    </xdr:from>
    <xdr:to>
      <xdr:col>10</xdr:col>
      <xdr:colOff>533400</xdr:colOff>
      <xdr:row>31</xdr:row>
      <xdr:rowOff>175260</xdr:rowOff>
    </xdr:to>
    <xdr:pic>
      <xdr:nvPicPr>
        <xdr:cNvPr id="303120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228600"/>
          <a:ext cx="8458200" cy="56159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76200</xdr:colOff>
      <xdr:row>37</xdr:row>
      <xdr:rowOff>0</xdr:rowOff>
    </xdr:to>
    <xdr:pic>
      <xdr:nvPicPr>
        <xdr:cNvPr id="30414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9585960" cy="676656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510540</xdr:colOff>
      <xdr:row>45</xdr:row>
      <xdr:rowOff>68580</xdr:rowOff>
    </xdr:to>
    <xdr:pic>
      <xdr:nvPicPr>
        <xdr:cNvPr id="30516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850380" cy="82981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495300</xdr:colOff>
      <xdr:row>45</xdr:row>
      <xdr:rowOff>68580</xdr:rowOff>
    </xdr:to>
    <xdr:pic>
      <xdr:nvPicPr>
        <xdr:cNvPr id="30619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835140" cy="82981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480060</xdr:colOff>
      <xdr:row>45</xdr:row>
      <xdr:rowOff>60960</xdr:rowOff>
    </xdr:to>
    <xdr:pic>
      <xdr:nvPicPr>
        <xdr:cNvPr id="30721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819900" cy="829056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129540</xdr:colOff>
      <xdr:row>21</xdr:row>
      <xdr:rowOff>121920</xdr:rowOff>
    </xdr:from>
    <xdr:to>
      <xdr:col>14</xdr:col>
      <xdr:colOff>167640</xdr:colOff>
      <xdr:row>37</xdr:row>
      <xdr:rowOff>144780</xdr:rowOff>
    </xdr:to>
    <xdr:pic>
      <xdr:nvPicPr>
        <xdr:cNvPr id="111632" name="Image 1" descr="fyfyfyf.PN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4234160" y="3962400"/>
          <a:ext cx="4236720" cy="36804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426720</xdr:colOff>
      <xdr:row>58</xdr:row>
      <xdr:rowOff>83820</xdr:rowOff>
    </xdr:to>
    <xdr:pic>
      <xdr:nvPicPr>
        <xdr:cNvPr id="308240" name="Image 1" descr="Plan chape verin droite aluminium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7559040" cy="106908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426720</xdr:colOff>
      <xdr:row>58</xdr:row>
      <xdr:rowOff>83820</xdr:rowOff>
    </xdr:to>
    <xdr:pic>
      <xdr:nvPicPr>
        <xdr:cNvPr id="309264" name="Image 2" descr="Plan bielette verin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7559040" cy="106908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68580</xdr:colOff>
      <xdr:row>58</xdr:row>
      <xdr:rowOff>83820</xdr:rowOff>
    </xdr:to>
    <xdr:pic>
      <xdr:nvPicPr>
        <xdr:cNvPr id="310288" name="Image 1" descr="plan plaque ppf centrale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5125700" cy="106908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388620</xdr:colOff>
      <xdr:row>41</xdr:row>
      <xdr:rowOff>60960</xdr:rowOff>
    </xdr:to>
    <xdr:pic>
      <xdr:nvPicPr>
        <xdr:cNvPr id="311312" name="Image 1" descr="plan chape ppf 10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0690860" cy="75590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716280</xdr:colOff>
      <xdr:row>58</xdr:row>
      <xdr:rowOff>167640</xdr:rowOff>
    </xdr:to>
    <xdr:pic>
      <xdr:nvPicPr>
        <xdr:cNvPr id="312336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7056120" cy="107746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693420</xdr:colOff>
      <xdr:row>55</xdr:row>
      <xdr:rowOff>68580</xdr:rowOff>
    </xdr:to>
    <xdr:pic>
      <xdr:nvPicPr>
        <xdr:cNvPr id="313360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3373100" cy="10126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426720</xdr:colOff>
      <xdr:row>58</xdr:row>
      <xdr:rowOff>83820</xdr:rowOff>
    </xdr:to>
    <xdr:pic>
      <xdr:nvPicPr>
        <xdr:cNvPr id="314384" name="Image 3" descr="Entretoise volant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7559040" cy="106908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731520</xdr:colOff>
      <xdr:row>58</xdr:row>
      <xdr:rowOff>114300</xdr:rowOff>
    </xdr:to>
    <xdr:pic>
      <xdr:nvPicPr>
        <xdr:cNvPr id="315408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7071360" cy="107213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0</xdr:row>
      <xdr:rowOff>0</xdr:rowOff>
    </xdr:from>
    <xdr:to>
      <xdr:col>14</xdr:col>
      <xdr:colOff>601980</xdr:colOff>
      <xdr:row>42</xdr:row>
      <xdr:rowOff>91440</xdr:rowOff>
    </xdr:to>
    <xdr:pic>
      <xdr:nvPicPr>
        <xdr:cNvPr id="316432" name="Image 2" descr="support rotule simple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44880" y="0"/>
          <a:ext cx="10751820" cy="777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236220</xdr:colOff>
      <xdr:row>1</xdr:row>
      <xdr:rowOff>7620</xdr:rowOff>
    </xdr:from>
    <xdr:to>
      <xdr:col>14</xdr:col>
      <xdr:colOff>685800</xdr:colOff>
      <xdr:row>43</xdr:row>
      <xdr:rowOff>99060</xdr:rowOff>
    </xdr:to>
    <xdr:pic>
      <xdr:nvPicPr>
        <xdr:cNvPr id="317456" name="Image 2" descr="Support double av inf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28700" y="190500"/>
          <a:ext cx="10751820" cy="777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434340</xdr:colOff>
      <xdr:row>24</xdr:row>
      <xdr:rowOff>0</xdr:rowOff>
    </xdr:from>
    <xdr:to>
      <xdr:col>7</xdr:col>
      <xdr:colOff>662940</xdr:colOff>
      <xdr:row>38</xdr:row>
      <xdr:rowOff>7620</xdr:rowOff>
    </xdr:to>
    <xdr:pic>
      <xdr:nvPicPr>
        <xdr:cNvPr id="117776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090160" y="5669280"/>
          <a:ext cx="3467100" cy="25679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68580</xdr:colOff>
      <xdr:row>58</xdr:row>
      <xdr:rowOff>83820</xdr:rowOff>
    </xdr:to>
    <xdr:pic>
      <xdr:nvPicPr>
        <xdr:cNvPr id="318480" name="Image 1" descr="Plan insert triangle avant superieur 1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5125700" cy="106908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83820</xdr:colOff>
      <xdr:row>41</xdr:row>
      <xdr:rowOff>60960</xdr:rowOff>
    </xdr:to>
    <xdr:pic>
      <xdr:nvPicPr>
        <xdr:cNvPr id="319504" name="Image 1" descr="Plan insert triangle arriere inferieur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0386060" cy="75590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388620</xdr:colOff>
      <xdr:row>41</xdr:row>
      <xdr:rowOff>60960</xdr:rowOff>
    </xdr:to>
    <xdr:pic>
      <xdr:nvPicPr>
        <xdr:cNvPr id="320528" name="Image 1" descr="basculeur arriere v2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0690860" cy="75590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518160</xdr:colOff>
      <xdr:row>26</xdr:row>
      <xdr:rowOff>114300</xdr:rowOff>
    </xdr:to>
    <xdr:pic>
      <xdr:nvPicPr>
        <xdr:cNvPr id="32155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858000" cy="48691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617220</xdr:colOff>
      <xdr:row>24</xdr:row>
      <xdr:rowOff>68580</xdr:rowOff>
    </xdr:to>
    <xdr:pic>
      <xdr:nvPicPr>
        <xdr:cNvPr id="322577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2994660" cy="44577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289560</xdr:colOff>
      <xdr:row>28</xdr:row>
      <xdr:rowOff>45720</xdr:rowOff>
    </xdr:to>
    <xdr:pic>
      <xdr:nvPicPr>
        <xdr:cNvPr id="323601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7421880" cy="516636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381000</xdr:colOff>
      <xdr:row>26</xdr:row>
      <xdr:rowOff>53340</xdr:rowOff>
    </xdr:to>
    <xdr:pic>
      <xdr:nvPicPr>
        <xdr:cNvPr id="324625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6720840" cy="480822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251460</xdr:colOff>
      <xdr:row>22</xdr:row>
      <xdr:rowOff>45720</xdr:rowOff>
    </xdr:to>
    <xdr:pic>
      <xdr:nvPicPr>
        <xdr:cNvPr id="325649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5798820" cy="40690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510540</xdr:colOff>
      <xdr:row>28</xdr:row>
      <xdr:rowOff>53340</xdr:rowOff>
    </xdr:to>
    <xdr:pic>
      <xdr:nvPicPr>
        <xdr:cNvPr id="32667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7642860" cy="51739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350520</xdr:colOff>
      <xdr:row>23</xdr:row>
      <xdr:rowOff>228600</xdr:rowOff>
    </xdr:from>
    <xdr:to>
      <xdr:col>13</xdr:col>
      <xdr:colOff>624840</xdr:colOff>
      <xdr:row>45</xdr:row>
      <xdr:rowOff>205740</xdr:rowOff>
    </xdr:to>
    <xdr:pic>
      <xdr:nvPicPr>
        <xdr:cNvPr id="124944" name="Image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557760" y="4861560"/>
          <a:ext cx="3200400" cy="53263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081_Ecole%20Centrale%20de%20Lyon_FSAEI_CR_BOM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st Summary"/>
      <sheetName val="BOM"/>
    </sheetNames>
    <sheetDataSet>
      <sheetData sheetId="0">
        <row r="6">
          <cell r="B6" t="str">
            <v>Area Totals</v>
          </cell>
        </row>
        <row r="7">
          <cell r="C7" t="str">
            <v>Brake System</v>
          </cell>
          <cell r="H7">
            <v>1133.8600000000001</v>
          </cell>
        </row>
        <row r="8">
          <cell r="C8" t="str">
            <v>Engine &amp; Drivetrain</v>
          </cell>
          <cell r="H8">
            <v>4569.7700000000013</v>
          </cell>
        </row>
        <row r="9">
          <cell r="C9" t="str">
            <v>Frame &amp; Body</v>
          </cell>
          <cell r="H9">
            <v>4098.3899999999985</v>
          </cell>
        </row>
        <row r="10">
          <cell r="C10" t="str">
            <v>Instruments &amp; Wiring</v>
          </cell>
          <cell r="H10">
            <v>1432.3899999999996</v>
          </cell>
        </row>
        <row r="11">
          <cell r="C11" t="str">
            <v>Miscellaneous, Fit &amp; Finish</v>
          </cell>
          <cell r="H11">
            <v>514.84100000000001</v>
          </cell>
        </row>
        <row r="12">
          <cell r="C12" t="str">
            <v>Steering System</v>
          </cell>
          <cell r="H12">
            <v>265.65999999999997</v>
          </cell>
        </row>
        <row r="13">
          <cell r="C13" t="str">
            <v>Suspension &amp; Shocks</v>
          </cell>
          <cell r="H13">
            <v>3249.4400000000019</v>
          </cell>
        </row>
        <row r="14">
          <cell r="C14" t="str">
            <v>Wheels &amp; Tires</v>
          </cell>
          <cell r="H14">
            <v>2332.7200000000003</v>
          </cell>
        </row>
      </sheetData>
      <sheetData sheetId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9.bin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0.bin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1.bin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2.bin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3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4.bin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5.bin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6.bin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7.bin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9.bin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0.bin"/></Relationships>
</file>

<file path=xl/worksheets/_rels/sheet1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1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2.bin"/></Relationships>
</file>

<file path=xl/worksheets/_rels/sheet1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3.bin"/></Relationships>
</file>

<file path=xl/worksheets/_rels/sheet1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4.bin"/></Relationships>
</file>

<file path=xl/worksheets/_rels/sheet1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5.bin"/></Relationships>
</file>

<file path=xl/worksheets/_rels/sheet1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6.bin"/></Relationships>
</file>

<file path=xl/worksheets/_rels/sheet1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7.bin"/></Relationships>
</file>

<file path=xl/worksheets/_rels/sheet1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9.bin"/></Relationships>
</file>

<file path=xl/worksheets/_rels/sheet1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0.bin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1.bin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2.bin"/></Relationships>
</file>

<file path=xl/worksheets/_rels/sheet1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3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4.bin"/></Relationships>
</file>

<file path=xl/worksheets/_rels/sheet1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5.bin"/></Relationships>
</file>

<file path=xl/worksheets/_rels/sheet1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6.bin"/></Relationships>
</file>

<file path=xl/worksheets/_rels/sheet1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7.bin"/></Relationships>
</file>

<file path=xl/worksheets/_rels/sheet1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8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9.bin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0.bin"/></Relationships>
</file>

<file path=xl/worksheets/_rels/sheet1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1.bin"/></Relationships>
</file>

<file path=xl/worksheets/_rels/sheet1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2.bin"/></Relationships>
</file>

<file path=xl/worksheets/_rels/sheet1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3.bin"/></Relationships>
</file>

<file path=xl/worksheets/_rels/sheet1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4.bin"/></Relationships>
</file>

<file path=xl/worksheets/_rels/sheet1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5.bin"/></Relationships>
</file>

<file path=xl/worksheets/_rels/sheet1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6.bin"/></Relationships>
</file>

<file path=xl/worksheets/_rels/sheet1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7.bin"/></Relationships>
</file>

<file path=xl/worksheets/_rels/sheet1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9.bin"/></Relationships>
</file>

<file path=xl/worksheets/_rels/sheet1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0.bin"/></Relationships>
</file>

<file path=xl/worksheets/_rels/sheet1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1.bin"/></Relationships>
</file>

<file path=xl/worksheets/_rels/sheet1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2.bin"/></Relationships>
</file>

<file path=xl/worksheets/_rels/sheet1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43.bin"/></Relationships>
</file>

<file path=xl/worksheets/_rels/sheet1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44.bin"/></Relationships>
</file>

<file path=xl/worksheets/_rels/sheet1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5.bin"/></Relationships>
</file>

<file path=xl/worksheets/_rels/sheet1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6.bin"/></Relationships>
</file>

<file path=xl/worksheets/_rels/sheet1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47.bin"/></Relationships>
</file>

<file path=xl/worksheets/_rels/sheet1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48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49.bin"/></Relationships>
</file>

<file path=xl/worksheets/_rels/sheet1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0.bin"/></Relationships>
</file>

<file path=xl/worksheets/_rels/sheet1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1.bin"/></Relationships>
</file>

<file path=xl/worksheets/_rels/sheet1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2.bin"/></Relationships>
</file>

<file path=xl/worksheets/_rels/sheet1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3.bin"/></Relationships>
</file>

<file path=xl/worksheets/_rels/sheet15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4.bin"/></Relationships>
</file>

<file path=xl/worksheets/_rels/sheet15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5.bin"/></Relationships>
</file>

<file path=xl/worksheets/_rels/sheet1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6.bin"/></Relationships>
</file>

<file path=xl/worksheets/_rels/sheet1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7.bin"/></Relationships>
</file>

<file path=xl/worksheets/_rels/sheet1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58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9.bin"/></Relationships>
</file>

<file path=xl/worksheets/_rels/sheet1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0.bin"/></Relationships>
</file>

<file path=xl/worksheets/_rels/sheet1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1.bin"/></Relationships>
</file>

<file path=xl/worksheets/_rels/sheet1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2.bin"/></Relationships>
</file>

<file path=xl/worksheets/_rels/sheet1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3.bin"/></Relationships>
</file>

<file path=xl/worksheets/_rels/sheet1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4.bin"/></Relationships>
</file>

<file path=xl/worksheets/_rels/sheet16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5.bin"/></Relationships>
</file>

<file path=xl/worksheets/_rels/sheet16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6.bin"/></Relationships>
</file>

<file path=xl/worksheets/_rels/sheet1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67.bin"/></Relationships>
</file>

<file path=xl/worksheets/_rels/sheet16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8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7.bin"/></Relationships>
</file>

<file path=xl/worksheets/_rels/sheet1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9.bin"/></Relationships>
</file>

<file path=xl/worksheets/_rels/sheet1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0.bin"/></Relationships>
</file>

<file path=xl/worksheets/_rels/sheet1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71.bin"/></Relationships>
</file>

<file path=xl/worksheets/_rels/sheet1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2.bin"/></Relationships>
</file>

<file path=xl/worksheets/_rels/sheet1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3.bin"/></Relationships>
</file>

<file path=xl/worksheets/_rels/sheet1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74.bin"/></Relationships>
</file>

<file path=xl/worksheets/_rels/sheet17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5.bin"/></Relationships>
</file>

<file path=xl/worksheets/_rels/sheet17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6.bin"/></Relationships>
</file>

<file path=xl/worksheets/_rels/sheet1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7.bin"/></Relationships>
</file>

<file path=xl/worksheets/_rels/sheet17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8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8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9.bin"/></Relationships>
</file>

<file path=xl/worksheets/_rels/sheet18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0.bin"/></Relationships>
</file>

<file path=xl/worksheets/_rels/sheet18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1.bin"/></Relationships>
</file>

<file path=xl/worksheets/_rels/sheet18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2.bin"/></Relationships>
</file>

<file path=xl/worksheets/_rels/sheet18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3.bin"/></Relationships>
</file>

<file path=xl/worksheets/_rels/sheet18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4.bin"/></Relationships>
</file>

<file path=xl/worksheets/_rels/sheet18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5.bin"/></Relationships>
</file>

<file path=xl/worksheets/_rels/sheet1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6.bin"/></Relationships>
</file>

<file path=xl/worksheets/_rels/sheet1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7.bin"/></Relationships>
</file>

<file path=xl/worksheets/_rels/sheet1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1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9.bin"/></Relationships>
</file>

<file path=xl/worksheets/_rels/sheet19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0.bin"/></Relationships>
</file>

<file path=xl/worksheets/_rels/sheet19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1.bin"/></Relationships>
</file>

<file path=xl/worksheets/_rels/sheet19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2.bin"/></Relationships>
</file>

<file path=xl/worksheets/_rels/sheet19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3.bin"/></Relationships>
</file>

<file path=xl/worksheets/_rels/sheet19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4.bin"/></Relationships>
</file>

<file path=xl/worksheets/_rels/sheet1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5.bin"/></Relationships>
</file>

<file path=xl/worksheets/_rels/sheet1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96.bin"/></Relationships>
</file>

<file path=xl/worksheets/_rels/sheet1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97.bin"/></Relationships>
</file>

<file path=xl/worksheets/_rels/sheet19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0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9.bin"/></Relationships>
</file>

<file path=xl/worksheets/_rels/sheet2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00.bin"/></Relationships>
</file>

<file path=xl/worksheets/_rels/sheet20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1.bin"/></Relationships>
</file>

<file path=xl/worksheets/_rels/sheet20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2.bin"/></Relationships>
</file>

<file path=xl/worksheets/_rels/sheet20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3.bin"/></Relationships>
</file>

<file path=xl/worksheets/_rels/sheet20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4.bin"/></Relationships>
</file>

<file path=xl/worksheets/_rels/sheet2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05.bin"/></Relationships>
</file>

<file path=xl/worksheets/_rels/sheet20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6.bin"/></Relationships>
</file>

<file path=xl/worksheets/_rels/sheet20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7.bin"/></Relationships>
</file>

<file path=xl/worksheets/_rels/sheet20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8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9.bin"/></Relationships>
</file>

<file path=xl/worksheets/_rels/sheet2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0.bin"/></Relationships>
</file>

<file path=xl/worksheets/_rels/sheet2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1.bin"/></Relationships>
</file>

<file path=xl/worksheets/_rels/sheet2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2.bin"/></Relationships>
</file>

<file path=xl/worksheets/_rels/sheet2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3.bin"/></Relationships>
</file>

<file path=xl/worksheets/_rels/sheet2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4.bin"/></Relationships>
</file>

<file path=xl/worksheets/_rels/sheet2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5.bin"/></Relationships>
</file>

<file path=xl/worksheets/_rels/sheet2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6.bin"/></Relationships>
</file>

<file path=xl/worksheets/_rels/sheet2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7.bin"/></Relationships>
</file>

<file path=xl/worksheets/_rels/sheet2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18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19.bin"/></Relationships>
</file>

<file path=xl/worksheets/_rels/sheet2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0.bin"/></Relationships>
</file>

<file path=xl/worksheets/_rels/sheet2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1.bin"/></Relationships>
</file>

<file path=xl/worksheets/_rels/sheet2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2.bin"/></Relationships>
</file>

<file path=xl/worksheets/_rels/sheet2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3.bin"/></Relationships>
</file>

<file path=xl/worksheets/_rels/sheet2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4.bin"/></Relationships>
</file>

<file path=xl/worksheets/_rels/sheet2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5.bin"/></Relationships>
</file>

<file path=xl/worksheets/_rels/sheet2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6.bin"/></Relationships>
</file>

<file path=xl/worksheets/_rels/sheet2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7.bin"/></Relationships>
</file>

<file path=xl/worksheets/_rels/sheet2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8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9.bin"/></Relationships>
</file>

<file path=xl/worksheets/_rels/sheet2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0.bin"/></Relationships>
</file>

<file path=xl/worksheets/_rels/sheet2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1.bin"/></Relationships>
</file>

<file path=xl/worksheets/_rels/sheet2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2.bin"/></Relationships>
</file>

<file path=xl/worksheets/_rels/sheet2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3.bin"/></Relationships>
</file>

<file path=xl/worksheets/_rels/sheet2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4.bin"/></Relationships>
</file>

<file path=xl/worksheets/_rels/sheet2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5.bin"/></Relationships>
</file>

<file path=xl/worksheets/_rels/sheet2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6.bin"/></Relationships>
</file>

<file path=xl/worksheets/_rels/sheet2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7.bin"/></Relationships>
</file>

<file path=xl/worksheets/_rels/sheet2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8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9.bin"/></Relationships>
</file>

<file path=xl/worksheets/_rels/sheet2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0.bin"/></Relationships>
</file>

<file path=xl/worksheets/_rels/sheet2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1.bin"/></Relationships>
</file>

<file path=xl/worksheets/_rels/sheet2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2.bin"/></Relationships>
</file>

<file path=xl/worksheets/_rels/sheet24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3.bin"/></Relationships>
</file>

<file path=xl/worksheets/_rels/sheet24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4.bin"/></Relationships>
</file>

<file path=xl/worksheets/_rels/sheet2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5.bin"/></Relationships>
</file>

<file path=xl/worksheets/_rels/sheet2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6.bin"/></Relationships>
</file>

<file path=xl/worksheets/_rels/sheet2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247.bin"/></Relationships>
</file>

<file path=xl/worksheets/_rels/sheet2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248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5.bin"/></Relationships>
</file>

<file path=xl/worksheets/_rels/sheet2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249.bin"/></Relationships>
</file>

<file path=xl/worksheets/_rels/sheet2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250.bin"/></Relationships>
</file>

<file path=xl/worksheets/_rels/sheet2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1.bin"/></Relationships>
</file>

<file path=xl/worksheets/_rels/sheet2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2.bin"/></Relationships>
</file>

<file path=xl/worksheets/_rels/sheet2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253.bin"/></Relationships>
</file>

<file path=xl/worksheets/_rels/sheet2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2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4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2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7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5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256.bin"/></Relationships>
</file>

<file path=xl/worksheets/_rels/sheet2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257.bin"/></Relationships>
</file>

<file path=xl/worksheets/_rels/sheet28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8.bin"/></Relationships>
</file>

<file path=xl/worksheets/_rels/sheet28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9.bin"/></Relationships>
</file>

<file path=xl/worksheets/_rels/sheet2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0.bin"/></Relationships>
</file>

<file path=xl/worksheets/_rels/sheet2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1.bin"/></Relationships>
</file>

<file path=xl/worksheets/_rels/sheet2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2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2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263.bin"/></Relationships>
</file>

<file path=xl/worksheets/_rels/sheet29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4.bin"/></Relationships>
</file>

<file path=xl/worksheets/_rels/sheet29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5.bin"/></Relationships>
</file>

<file path=xl/worksheets/_rels/sheet29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6.bin"/></Relationships>
</file>

<file path=xl/worksheets/_rels/sheet29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7.bin"/></Relationships>
</file>

<file path=xl/worksheets/_rels/sheet29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8.bin"/></Relationships>
</file>

<file path=xl/worksheets/_rels/sheet2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269.bin"/></Relationships>
</file>

<file path=xl/worksheets/_rels/sheet2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0.bin"/></Relationships>
</file>

<file path=xl/worksheets/_rels/sheet29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1.bin"/></Relationships>
</file>

<file path=xl/worksheets/_rels/sheet29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0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3.bin"/></Relationships>
</file>

<file path=xl/worksheets/_rels/sheet30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4.bin"/></Relationships>
</file>

<file path=xl/worksheets/_rels/sheet30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5.bin"/></Relationships>
</file>

<file path=xl/worksheets/_rels/sheet3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276.bin"/></Relationships>
</file>

<file path=xl/worksheets/_rels/sheet30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7.bin"/></Relationships>
</file>

<file path=xl/worksheets/_rels/sheet30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8.bin"/></Relationships>
</file>

<file path=xl/worksheets/_rels/sheet30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9.bin"/></Relationships>
</file>

<file path=xl/worksheets/_rels/sheet30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0.bin"/></Relationships>
</file>

<file path=xl/worksheets/_rels/sheet30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1.bin"/></Relationships>
</file>

<file path=xl/worksheets/_rels/sheet30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2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3.bin"/></Relationships>
</file>

<file path=xl/worksheets/_rels/sheet3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4.bin"/></Relationships>
</file>

<file path=xl/worksheets/_rels/sheet3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5.bin"/></Relationships>
</file>

<file path=xl/worksheets/_rels/sheet3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6.bin"/></Relationships>
</file>

<file path=xl/worksheets/_rels/sheet3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7.bin"/></Relationships>
</file>

<file path=xl/worksheets/_rels/sheet3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8.bin"/></Relationships>
</file>

<file path=xl/worksheets/_rels/sheet3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9.bin"/></Relationships>
</file>

<file path=xl/worksheets/_rels/sheet3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0.bin"/></Relationships>
</file>

<file path=xl/worksheets/_rels/sheet3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1.bin"/></Relationships>
</file>

<file path=xl/worksheets/_rels/sheet3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2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293.bin"/></Relationships>
</file>

<file path=xl/worksheets/_rels/sheet3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294.bin"/></Relationships>
</file>

<file path=xl/worksheets/_rels/sheet3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5.bin"/></Relationships>
</file>

<file path=xl/worksheets/_rels/sheet3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6.bin"/></Relationships>
</file>

<file path=xl/worksheets/_rels/sheet3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7.bin"/></Relationships>
</file>

<file path=xl/worksheets/_rels/sheet3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8.bin"/></Relationships>
</file>

<file path=xl/worksheets/_rels/sheet3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9.bin"/></Relationships>
</file>

<file path=xl/worksheets/_rels/sheet3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0.bin"/></Relationships>
</file>

<file path=xl/worksheets/_rels/sheet3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1.bin"/></Relationships>
</file>

<file path=xl/worksheets/_rels/sheet3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2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303.bin"/></Relationships>
</file>

<file path=xl/worksheets/_rels/sheet3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304.bin"/></Relationships>
</file>

<file path=xl/worksheets/_rels/sheet3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5.bin"/></Relationships>
</file>

<file path=xl/worksheets/_rels/sheet3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6.bin"/></Relationships>
</file>

<file path=xl/worksheets/_rels/sheet3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7.bin"/></Relationships>
</file>

<file path=xl/worksheets/_rels/sheet3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308.bin"/></Relationships>
</file>

<file path=xl/worksheets/_rels/sheet3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9.bin"/></Relationships>
</file>

<file path=xl/worksheets/_rels/sheet3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0.bin"/></Relationships>
</file>

<file path=xl/worksheets/_rels/sheet3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1.bin"/></Relationships>
</file>

<file path=xl/worksheets/_rels/sheet3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2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3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313.bin"/></Relationships>
</file>

<file path=xl/worksheets/_rels/sheet3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4.bin"/></Relationships>
</file>

<file path=xl/worksheets/_rels/sheet3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5.bin"/></Relationships>
</file>

<file path=xl/worksheets/_rels/sheet3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6.bin"/></Relationships>
</file>

<file path=xl/worksheets/_rels/sheet34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7.bin"/></Relationships>
</file>

<file path=xl/worksheets/_rels/sheet34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8.bin"/></Relationships>
</file>

<file path=xl/worksheets/_rels/sheet3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9.bin"/></Relationships>
</file>

<file path=xl/worksheets/_rels/sheet3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0.bin"/></Relationships>
</file>

<file path=xl/worksheets/_rels/sheet3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321.bin"/></Relationships>
</file>

<file path=xl/worksheets/_rels/sheet3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2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5.bin"/></Relationships>
</file>

<file path=xl/worksheets/_rels/sheet3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3.bin"/></Relationships>
</file>

<file path=xl/worksheets/_rels/sheet3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4.bin"/></Relationships>
</file>

<file path=xl/worksheets/_rels/sheet3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5.bin"/></Relationships>
</file>

<file path=xl/worksheets/_rels/sheet3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6.bin"/></Relationships>
</file>

<file path=xl/worksheets/_rels/sheet3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7.bin"/></Relationships>
</file>

<file path=xl/worksheets/_rels/sheet3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328.bin"/></Relationships>
</file>

<file path=xl/worksheets/_rels/sheet35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9.bin"/></Relationships>
</file>

<file path=xl/worksheets/_rels/sheet3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0.bin"/></Relationships>
</file>

<file path=xl/worksheets/_rels/sheet3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1.bin"/></Relationships>
</file>

<file path=xl/worksheets/_rels/sheet3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2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3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3.bin"/></Relationships>
</file>

<file path=xl/worksheets/_rels/sheet3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334.bin"/></Relationships>
</file>

<file path=xl/worksheets/_rels/sheet3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5.bin"/></Relationships>
</file>

<file path=xl/worksheets/_rels/sheet3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6.bin"/></Relationships>
</file>

<file path=xl/worksheets/_rels/sheet3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7.bin"/></Relationships>
</file>

<file path=xl/worksheets/_rels/sheet3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8.bin"/></Relationships>
</file>

<file path=xl/worksheets/_rels/sheet36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9.bin"/></Relationships>
</file>

<file path=xl/worksheets/_rels/sheet3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340.bin"/></Relationships>
</file>

<file path=xl/worksheets/_rels/sheet3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341.bin"/></Relationships>
</file>

<file path=xl/worksheets/_rels/sheet3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342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3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343.bin"/></Relationships>
</file>

<file path=xl/worksheets/_rels/sheet3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344.bin"/></Relationships>
</file>

<file path=xl/worksheets/_rels/sheet3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345.bin"/></Relationships>
</file>

<file path=xl/worksheets/_rels/sheet3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346.bin"/></Relationships>
</file>

<file path=xl/worksheets/_rels/sheet3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347.bin"/></Relationships>
</file>

<file path=xl/worksheets/_rels/sheet3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348.bin"/></Relationships>
</file>

<file path=xl/worksheets/_rels/sheet3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349.bin"/></Relationships>
</file>

<file path=xl/worksheets/_rels/sheet3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350.bin"/></Relationships>
</file>

<file path=xl/worksheets/_rels/sheet3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351.bin"/></Relationships>
</file>

<file path=xl/worksheets/_rels/sheet3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352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3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353.bin"/></Relationships>
</file>

<file path=xl/worksheets/_rels/sheet3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354.bin"/></Relationships>
</file>

<file path=xl/worksheets/_rels/sheet3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355.bin"/></Relationships>
</file>

<file path=xl/worksheets/_rels/sheet3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356.bin"/></Relationships>
</file>

<file path=xl/worksheets/_rels/sheet3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357.bin"/></Relationships>
</file>

<file path=xl/worksheets/_rels/sheet3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358.bin"/></Relationships>
</file>

<file path=xl/worksheets/_rels/sheet3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359.bin"/></Relationships>
</file>

<file path=xl/worksheets/_rels/sheet3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360.bin"/></Relationships>
</file>

<file path=xl/worksheets/_rels/sheet3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361.bin"/></Relationships>
</file>

<file path=xl/worksheets/_rels/sheet3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362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3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3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3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3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3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363.bin"/></Relationships>
</file>

<file path=xl/worksheets/_rels/sheet3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364.bin"/></Relationships>
</file>

<file path=xl/worksheets/_rels/sheet3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365.bin"/></Relationships>
</file>

<file path=xl/worksheets/_rels/sheet3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366.bin"/></Relationships>
</file>

<file path=xl/worksheets/_rels/sheet3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367.bin"/></Relationships>
</file>

<file path=xl/worksheets/_rels/sheet3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368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4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369.bin"/></Relationships>
</file>

<file path=xl/worksheets/_rels/sheet4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370.bin"/></Relationships>
</file>

<file path=xl/worksheets/_rels/sheet4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4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4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0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3.bin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4.bin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5.bin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6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7.bin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8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9.bin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0.bin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1.bin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2.bin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3.bin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4.bin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5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6.bin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9.bin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0.bin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1.bin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2.bin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3.bin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4.bin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5.bin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6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7.bin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">
    <tabColor theme="0" tint="-0.249977111117893"/>
  </sheetPr>
  <dimension ref="A1"/>
  <sheetViews>
    <sheetView showGridLines="0" tabSelected="1" zoomScale="115" zoomScaleNormal="115" workbookViewId="0">
      <selection activeCell="J1" sqref="J1"/>
    </sheetView>
  </sheetViews>
  <sheetFormatPr defaultColWidth="11.5546875" defaultRowHeight="14.4" x14ac:dyDescent="0.3"/>
  <sheetData/>
  <pageMargins left="0.25" right="0.25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96"/>
  <sheetViews>
    <sheetView showGridLines="0" workbookViewId="0"/>
  </sheetViews>
  <sheetFormatPr defaultColWidth="11.44140625" defaultRowHeight="14.4" x14ac:dyDescent="0.3"/>
  <cols>
    <col min="2" max="2" width="25.5546875" customWidth="1"/>
    <col min="3" max="3" width="21.109375" customWidth="1"/>
    <col min="4" max="4" width="12.109375" customWidth="1"/>
    <col min="7" max="7" width="19.77734375" customWidth="1"/>
    <col min="8" max="8" width="18.109375" customWidth="1"/>
    <col min="9" max="9" width="22.88671875" customWidth="1"/>
    <col min="13" max="13" width="14.8867187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N11+I16</f>
        <v>0.15302449653333333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12</v>
      </c>
    </row>
    <row r="3" spans="1:14" x14ac:dyDescent="0.3">
      <c r="A3" s="197" t="s">
        <v>534</v>
      </c>
      <c r="B3" t="s">
        <v>579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6" t="s">
        <v>604</v>
      </c>
      <c r="D4" s="197" t="s">
        <v>541</v>
      </c>
      <c r="J4" s="197" t="s">
        <v>538</v>
      </c>
      <c r="M4" s="197" t="s">
        <v>539</v>
      </c>
      <c r="N4" s="164">
        <f>N2*N1</f>
        <v>1.8362939584</v>
      </c>
    </row>
    <row r="5" spans="1:14" x14ac:dyDescent="0.3">
      <c r="A5" s="197" t="s">
        <v>537</v>
      </c>
      <c r="B5" s="199" t="s">
        <v>45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200" t="s">
        <v>542</v>
      </c>
      <c r="B7" s="161" t="s">
        <v>605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x14ac:dyDescent="0.3">
      <c r="A10" s="232">
        <v>10</v>
      </c>
      <c r="B10" s="225" t="s">
        <v>606</v>
      </c>
      <c r="C10" s="232" t="s">
        <v>607</v>
      </c>
      <c r="D10" s="233">
        <v>2.25</v>
      </c>
      <c r="E10" s="232">
        <v>6</v>
      </c>
      <c r="F10" s="234" t="s">
        <v>573</v>
      </c>
      <c r="G10" s="232"/>
      <c r="H10" s="235"/>
      <c r="I10" s="236" t="s">
        <v>608</v>
      </c>
      <c r="J10" s="237">
        <f>3.14*0.006^2</f>
        <v>1.1304E-4</v>
      </c>
      <c r="K10" s="237">
        <v>8.0000000000000002E-3</v>
      </c>
      <c r="L10" s="238">
        <v>7810</v>
      </c>
      <c r="M10" s="235">
        <v>1</v>
      </c>
      <c r="N10" s="239">
        <f>K10*L10*J10*D10</f>
        <v>1.5891163199999999E-2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240"/>
      <c r="J11" s="178"/>
      <c r="K11" s="178"/>
      <c r="L11" s="178"/>
      <c r="M11" s="212" t="s">
        <v>547</v>
      </c>
      <c r="N11" s="213">
        <f>N10</f>
        <v>1.5891163199999999E-2</v>
      </c>
    </row>
    <row r="13" spans="1:14" x14ac:dyDescent="0.3">
      <c r="A13" s="203" t="s">
        <v>544</v>
      </c>
      <c r="B13" s="203" t="s">
        <v>548</v>
      </c>
      <c r="C13" s="203" t="s">
        <v>549</v>
      </c>
      <c r="D13" s="203" t="s">
        <v>550</v>
      </c>
      <c r="E13" s="203" t="s">
        <v>551</v>
      </c>
      <c r="F13" s="203" t="s">
        <v>28</v>
      </c>
      <c r="G13" s="203" t="s">
        <v>552</v>
      </c>
      <c r="H13" s="203" t="s">
        <v>553</v>
      </c>
      <c r="I13" s="203" t="s">
        <v>547</v>
      </c>
      <c r="J13" s="178"/>
      <c r="K13" s="178"/>
      <c r="L13" s="178"/>
      <c r="M13" s="178"/>
      <c r="N13" s="178"/>
    </row>
    <row r="14" spans="1:14" ht="28.8" x14ac:dyDescent="0.3">
      <c r="A14" s="179">
        <v>10</v>
      </c>
      <c r="B14" s="180" t="s">
        <v>589</v>
      </c>
      <c r="C14" s="179"/>
      <c r="D14" s="241">
        <v>1.3</v>
      </c>
      <c r="E14" s="180" t="s">
        <v>556</v>
      </c>
      <c r="F14" s="179">
        <v>1</v>
      </c>
      <c r="G14" s="267" t="s">
        <v>2948</v>
      </c>
      <c r="H14">
        <f>1/12</f>
        <v>8.3333333333333329E-2</v>
      </c>
      <c r="I14" s="214">
        <f>D14*H14</f>
        <v>0.10833333333333334</v>
      </c>
    </row>
    <row r="15" spans="1:14" x14ac:dyDescent="0.3">
      <c r="A15" s="168">
        <v>20</v>
      </c>
      <c r="B15" s="180" t="s">
        <v>609</v>
      </c>
      <c r="C15" s="183"/>
      <c r="D15" s="241">
        <v>0.04</v>
      </c>
      <c r="E15" s="183" t="s">
        <v>610</v>
      </c>
      <c r="F15" s="183">
        <v>0.24</v>
      </c>
      <c r="G15" s="180" t="s">
        <v>611</v>
      </c>
      <c r="H15" s="179">
        <v>3</v>
      </c>
      <c r="I15" s="170">
        <f>H15*F15*D15</f>
        <v>2.8799999999999999E-2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216" t="s">
        <v>547</v>
      </c>
      <c r="I16" s="213">
        <f>I15+I14</f>
        <v>0.13713333333333333</v>
      </c>
      <c r="J16" s="178"/>
      <c r="K16" s="178"/>
      <c r="L16" s="178"/>
      <c r="M16" s="178"/>
      <c r="N16" s="178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  <row r="195" spans="1:8" x14ac:dyDescent="0.3">
      <c r="A195" s="161"/>
      <c r="B195" s="161"/>
      <c r="C195" s="161"/>
      <c r="D195" s="161"/>
      <c r="E195" s="161"/>
      <c r="F195" s="161"/>
      <c r="G195" s="161"/>
      <c r="H195" s="161"/>
    </row>
    <row r="196" spans="1:8" x14ac:dyDescent="0.3">
      <c r="A196" s="161"/>
      <c r="B196" s="161"/>
      <c r="C196" s="161"/>
      <c r="D196" s="161"/>
      <c r="E196" s="161"/>
      <c r="F196" s="161"/>
      <c r="G196" s="161"/>
      <c r="H196" s="161"/>
    </row>
  </sheetData>
  <pageMargins left="0.7" right="0.7" top="0.75" bottom="0.75" header="0.3" footer="0.3"/>
  <pageSetup paperSize="9" scale="65" fitToHeight="0" orientation="landscape"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1"/>
  <sheetViews>
    <sheetView showGridLines="0" workbookViewId="0"/>
  </sheetViews>
  <sheetFormatPr defaultColWidth="11.5546875" defaultRowHeight="14.4" x14ac:dyDescent="0.3"/>
  <cols>
    <col min="1" max="1" width="13.5546875" customWidth="1"/>
    <col min="2" max="2" width="49.88671875" customWidth="1"/>
    <col min="3" max="4" width="13.6640625" customWidth="1"/>
    <col min="13" max="13" width="17.8867187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</f>
        <v>110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1</v>
      </c>
    </row>
    <row r="3" spans="1:14" x14ac:dyDescent="0.3">
      <c r="A3" s="343" t="s">
        <v>534</v>
      </c>
      <c r="B3" s="319" t="s">
        <v>163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167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110</v>
      </c>
    </row>
    <row r="5" spans="1:14" x14ac:dyDescent="0.3">
      <c r="A5" s="343" t="s">
        <v>537</v>
      </c>
      <c r="B5" s="319" t="s">
        <v>166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 t="s">
        <v>1270</v>
      </c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539"/>
      <c r="B8" s="539"/>
      <c r="C8" s="539"/>
      <c r="D8" s="539"/>
      <c r="E8" s="539"/>
      <c r="F8" s="539"/>
      <c r="G8" s="539"/>
      <c r="H8" s="539"/>
      <c r="I8" s="539"/>
      <c r="J8" s="539"/>
      <c r="K8" s="539"/>
      <c r="L8" s="539"/>
      <c r="M8" s="539"/>
      <c r="N8" s="539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1271</v>
      </c>
      <c r="C10" s="494" t="s">
        <v>1272</v>
      </c>
      <c r="D10" s="495">
        <v>110</v>
      </c>
      <c r="E10" s="496"/>
      <c r="F10" s="497" t="s">
        <v>556</v>
      </c>
      <c r="G10" s="496"/>
      <c r="H10" s="498"/>
      <c r="I10" s="466"/>
      <c r="J10" s="499"/>
      <c r="K10" s="500"/>
      <c r="L10" s="500"/>
      <c r="M10" s="540">
        <v>1</v>
      </c>
      <c r="N10" s="501">
        <f>IF(J10="",D10*M10,D10*J10*K10*L10*M10)</f>
        <v>110</v>
      </c>
    </row>
    <row r="11" spans="1:14" x14ac:dyDescent="0.3">
      <c r="A11" s="534"/>
      <c r="B11" s="507"/>
      <c r="C11" s="507"/>
      <c r="D11" s="507"/>
      <c r="E11" s="507"/>
      <c r="F11" s="507"/>
      <c r="G11" s="507"/>
      <c r="H11" s="507"/>
      <c r="I11" s="507"/>
      <c r="J11" s="507"/>
      <c r="K11" s="507"/>
      <c r="L11" s="507"/>
      <c r="M11" s="372" t="s">
        <v>547</v>
      </c>
      <c r="N11" s="541">
        <f>SUM(N10:N10)</f>
        <v>110</v>
      </c>
    </row>
  </sheetData>
  <pageMargins left="0.7" right="0.7" top="0.75" bottom="0.75" header="0.3" footer="0.3"/>
  <pageSetup paperSize="9" scale="61" orientation="landscape"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8"/>
  <sheetViews>
    <sheetView showGridLines="0" workbookViewId="0"/>
  </sheetViews>
  <sheetFormatPr defaultColWidth="11.5546875" defaultRowHeight="14.4" x14ac:dyDescent="0.3"/>
  <cols>
    <col min="2" max="2" width="23.109375" customWidth="1"/>
    <col min="3" max="3" width="25.5546875" customWidth="1"/>
    <col min="4" max="4" width="13.5546875" customWidth="1"/>
    <col min="7" max="7" width="21.33203125" customWidth="1"/>
    <col min="8" max="8" width="16.44140625" customWidth="1"/>
    <col min="9" max="9" width="23.109375" customWidth="1"/>
    <col min="10" max="10" width="13.5546875" customWidth="1"/>
    <col min="13" max="13" width="19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I18+N11</f>
        <v>10.729011119999999</v>
      </c>
    </row>
    <row r="2" spans="1:14" x14ac:dyDescent="0.3">
      <c r="A2" s="343" t="s">
        <v>532</v>
      </c>
      <c r="B2" s="319" t="s">
        <v>780</v>
      </c>
      <c r="C2" s="556" t="s">
        <v>732</v>
      </c>
      <c r="D2" s="557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2</v>
      </c>
    </row>
    <row r="3" spans="1:14" x14ac:dyDescent="0.3">
      <c r="A3" s="343" t="s">
        <v>534</v>
      </c>
      <c r="B3" s="319" t="s">
        <v>163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1221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21.458022239999998</v>
      </c>
    </row>
    <row r="5" spans="1:14" x14ac:dyDescent="0.3">
      <c r="A5" s="343" t="s">
        <v>537</v>
      </c>
      <c r="B5" s="319" t="s">
        <v>168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/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1241</v>
      </c>
      <c r="C10" s="494" t="s">
        <v>1273</v>
      </c>
      <c r="D10" s="495">
        <v>4.2</v>
      </c>
      <c r="E10" s="496">
        <v>0.23100000000000001</v>
      </c>
      <c r="F10" s="497" t="s">
        <v>644</v>
      </c>
      <c r="G10" s="496">
        <v>0.11799999999999999</v>
      </c>
      <c r="H10" s="498" t="s">
        <v>644</v>
      </c>
      <c r="I10" s="466" t="s">
        <v>1274</v>
      </c>
      <c r="J10" s="542">
        <f>E10*G10</f>
        <v>2.7258000000000001E-2</v>
      </c>
      <c r="K10" s="500">
        <v>0.02</v>
      </c>
      <c r="L10" s="500">
        <v>2710</v>
      </c>
      <c r="M10" s="540">
        <v>1</v>
      </c>
      <c r="N10" s="501">
        <f>IF(J10="",D10*M10,D10*J10*K10*L10*M10)</f>
        <v>6.20501112</v>
      </c>
    </row>
    <row r="11" spans="1:14" x14ac:dyDescent="0.3">
      <c r="A11" s="534"/>
      <c r="B11" s="507"/>
      <c r="C11" s="507"/>
      <c r="D11" s="507"/>
      <c r="E11" s="507"/>
      <c r="F11" s="507"/>
      <c r="G11" s="507"/>
      <c r="H11" s="507"/>
      <c r="I11" s="507"/>
      <c r="J11" s="507"/>
      <c r="K11" s="507"/>
      <c r="L11" s="507"/>
      <c r="M11" s="372" t="s">
        <v>547</v>
      </c>
      <c r="N11" s="541">
        <f>SUM(N10:N10)</f>
        <v>6.20501112</v>
      </c>
    </row>
    <row r="12" spans="1:14" x14ac:dyDescent="0.3">
      <c r="A12" s="161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43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ht="28.8" x14ac:dyDescent="0.3">
      <c r="A14" s="184">
        <v>10</v>
      </c>
      <c r="B14" s="508" t="s">
        <v>589</v>
      </c>
      <c r="C14" s="508" t="s">
        <v>1408</v>
      </c>
      <c r="D14" s="495">
        <v>1.3</v>
      </c>
      <c r="E14" s="494" t="s">
        <v>556</v>
      </c>
      <c r="F14" s="544">
        <v>1</v>
      </c>
      <c r="G14" s="509"/>
      <c r="H14" s="509"/>
      <c r="I14" s="510">
        <f>F14*D14</f>
        <v>1.3</v>
      </c>
      <c r="J14" s="478"/>
      <c r="K14" s="478"/>
      <c r="L14" s="478"/>
      <c r="M14" s="478"/>
      <c r="N14" s="478"/>
    </row>
    <row r="15" spans="1:14" ht="28.8" x14ac:dyDescent="0.3">
      <c r="A15" s="184">
        <v>20</v>
      </c>
      <c r="B15" s="508" t="s">
        <v>591</v>
      </c>
      <c r="C15" s="508" t="s">
        <v>1407</v>
      </c>
      <c r="D15" s="495">
        <v>0.01</v>
      </c>
      <c r="E15" s="494" t="s">
        <v>593</v>
      </c>
      <c r="F15" s="545">
        <v>157.4</v>
      </c>
      <c r="G15" s="509" t="s">
        <v>710</v>
      </c>
      <c r="H15" s="509">
        <v>1</v>
      </c>
      <c r="I15" s="510">
        <f>F15*D15</f>
        <v>1.5740000000000001</v>
      </c>
      <c r="J15" s="478"/>
      <c r="K15" s="478"/>
      <c r="L15" s="478"/>
      <c r="M15" s="478"/>
      <c r="N15" s="478"/>
    </row>
    <row r="16" spans="1:14" ht="28.8" x14ac:dyDescent="0.3">
      <c r="A16" s="184">
        <v>30</v>
      </c>
      <c r="B16" s="508" t="s">
        <v>589</v>
      </c>
      <c r="C16" s="508" t="s">
        <v>2944</v>
      </c>
      <c r="D16" s="495">
        <v>1.3</v>
      </c>
      <c r="E16" s="494" t="s">
        <v>556</v>
      </c>
      <c r="F16" s="544">
        <v>1</v>
      </c>
      <c r="G16" s="509"/>
      <c r="H16" s="509"/>
      <c r="I16" s="510">
        <f>F16*D16</f>
        <v>1.3</v>
      </c>
      <c r="J16" s="478"/>
      <c r="K16" s="478"/>
      <c r="L16" s="478"/>
      <c r="M16" s="478"/>
      <c r="N16" s="478"/>
    </row>
    <row r="17" spans="1:14" x14ac:dyDescent="0.3">
      <c r="A17" s="184">
        <v>40</v>
      </c>
      <c r="B17" s="508" t="s">
        <v>2942</v>
      </c>
      <c r="C17" s="508" t="s">
        <v>2943</v>
      </c>
      <c r="D17" s="182">
        <v>0.35</v>
      </c>
      <c r="E17" s="315" t="s">
        <v>843</v>
      </c>
      <c r="F17" s="545">
        <v>1</v>
      </c>
      <c r="G17" s="509" t="s">
        <v>710</v>
      </c>
      <c r="H17" s="509">
        <v>1</v>
      </c>
      <c r="I17" s="510">
        <f>F17*D17</f>
        <v>0.35</v>
      </c>
      <c r="J17" s="478"/>
      <c r="K17" s="478"/>
      <c r="L17" s="478"/>
      <c r="M17" s="478"/>
      <c r="N17" s="478"/>
    </row>
    <row r="18" spans="1:14" x14ac:dyDescent="0.3">
      <c r="A18" s="278"/>
      <c r="B18" s="504"/>
      <c r="C18" s="504"/>
      <c r="D18" s="504"/>
      <c r="E18" s="504"/>
      <c r="F18" s="504"/>
      <c r="G18" s="504"/>
      <c r="H18" s="372" t="s">
        <v>547</v>
      </c>
      <c r="I18" s="541">
        <f>SUM(I14:I17)</f>
        <v>4.524</v>
      </c>
      <c r="J18" s="504"/>
      <c r="K18" s="504"/>
      <c r="L18" s="504"/>
      <c r="M18" s="504"/>
      <c r="N18" s="504"/>
    </row>
  </sheetData>
  <hyperlinks>
    <hyperlink ref="D2" location="'Bearing Carrier'!A1" display="FileLink1"/>
  </hyperlinks>
  <pageMargins left="0.70866141732283472" right="0.70866141732283472" top="0.74803149606299213" bottom="0.74803149606299213" header="0.31496062992125984" footer="0.31496062992125984"/>
  <pageSetup paperSize="9" scale="58" orientation="landscape"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11.5546875" defaultRowHeight="14.4" x14ac:dyDescent="0.3"/>
  <cols>
    <col min="2" max="2" width="21.5546875" customWidth="1"/>
    <col min="3" max="3" width="21.44140625" customWidth="1"/>
    <col min="7" max="7" width="19.33203125" customWidth="1"/>
    <col min="9" max="9" width="16.109375" customWidth="1"/>
    <col min="13" max="13" width="16.664062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N11+I16</f>
        <v>1.883575295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4</v>
      </c>
    </row>
    <row r="3" spans="1:14" x14ac:dyDescent="0.3">
      <c r="A3" s="343" t="s">
        <v>534</v>
      </c>
      <c r="B3" s="319" t="s">
        <v>163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1222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7.5343011799999999</v>
      </c>
    </row>
    <row r="5" spans="1:14" x14ac:dyDescent="0.3">
      <c r="A5" s="343" t="s">
        <v>537</v>
      </c>
      <c r="B5" s="319" t="s">
        <v>169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/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s="196" customFormat="1" ht="28.8" x14ac:dyDescent="0.3">
      <c r="A10" s="184">
        <v>10</v>
      </c>
      <c r="B10" s="381" t="s">
        <v>1275</v>
      </c>
      <c r="C10" s="494" t="s">
        <v>1276</v>
      </c>
      <c r="D10" s="495">
        <v>2.25</v>
      </c>
      <c r="E10" s="544">
        <v>6.3E-2</v>
      </c>
      <c r="F10" s="494" t="s">
        <v>644</v>
      </c>
      <c r="G10" s="544">
        <v>6.3E-2</v>
      </c>
      <c r="H10" s="546" t="s">
        <v>644</v>
      </c>
      <c r="I10" s="466" t="s">
        <v>1277</v>
      </c>
      <c r="J10" s="547">
        <f>E10*G10</f>
        <v>3.9690000000000003E-3</v>
      </c>
      <c r="K10" s="547">
        <v>3.0000000000000001E-3</v>
      </c>
      <c r="L10" s="548">
        <v>7860</v>
      </c>
      <c r="M10" s="509">
        <v>1</v>
      </c>
      <c r="N10" s="510">
        <f>IF(J10="",D10*M10,D10*J10*K10*L10*M10)</f>
        <v>0.210575295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0.210575295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ht="28.8" x14ac:dyDescent="0.3">
      <c r="A14" s="184">
        <v>10</v>
      </c>
      <c r="B14" s="508" t="s">
        <v>589</v>
      </c>
      <c r="C14" s="508" t="s">
        <v>1408</v>
      </c>
      <c r="D14" s="495">
        <v>1.3</v>
      </c>
      <c r="E14" s="497" t="s">
        <v>556</v>
      </c>
      <c r="F14" s="496">
        <v>1</v>
      </c>
      <c r="G14" s="509" t="s">
        <v>1410</v>
      </c>
      <c r="H14" s="509">
        <v>0.25</v>
      </c>
      <c r="I14" s="510">
        <f>F14*D14</f>
        <v>1.3</v>
      </c>
      <c r="J14" s="478"/>
      <c r="K14" s="478"/>
      <c r="L14" s="478"/>
      <c r="M14" s="478"/>
      <c r="N14" s="478"/>
    </row>
    <row r="15" spans="1:14" x14ac:dyDescent="0.3">
      <c r="A15" s="184">
        <v>20</v>
      </c>
      <c r="B15" s="508" t="s">
        <v>700</v>
      </c>
      <c r="C15" s="508" t="s">
        <v>1409</v>
      </c>
      <c r="D15" s="495">
        <v>0.01</v>
      </c>
      <c r="E15" s="497" t="s">
        <v>593</v>
      </c>
      <c r="F15" s="532">
        <v>37.299999999999997</v>
      </c>
      <c r="G15" s="509" t="s">
        <v>598</v>
      </c>
      <c r="H15" s="509">
        <v>3</v>
      </c>
      <c r="I15" s="510">
        <f>F15*D15</f>
        <v>0.373</v>
      </c>
      <c r="J15" s="478"/>
      <c r="K15" s="478"/>
      <c r="L15" s="478"/>
      <c r="M15" s="478"/>
      <c r="N15" s="478"/>
    </row>
    <row r="16" spans="1:14" x14ac:dyDescent="0.3">
      <c r="A16" s="178"/>
      <c r="B16" s="504"/>
      <c r="C16" s="504"/>
      <c r="D16" s="504"/>
      <c r="E16" s="504"/>
      <c r="F16" s="504"/>
      <c r="G16" s="504"/>
      <c r="H16" s="372" t="s">
        <v>547</v>
      </c>
      <c r="I16" s="541">
        <f>SUM(I14:I15)</f>
        <v>1.673</v>
      </c>
      <c r="J16" s="504"/>
      <c r="K16" s="504"/>
      <c r="L16" s="504"/>
      <c r="M16" s="504"/>
      <c r="N16" s="504"/>
    </row>
    <row r="17" spans="1:14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  <c r="L17" s="161"/>
      <c r="M17" s="161"/>
      <c r="N17" s="161"/>
    </row>
  </sheetData>
  <pageMargins left="0.7" right="0.7" top="0.75" bottom="0.75" header="0.3" footer="0.3"/>
  <pageSetup paperSize="9" scale="65" orientation="landscape"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11.5546875" defaultRowHeight="14.4" x14ac:dyDescent="0.3"/>
  <cols>
    <col min="1" max="1" width="12.88671875" customWidth="1"/>
    <col min="2" max="2" width="24.6640625" customWidth="1"/>
    <col min="3" max="3" width="20" customWidth="1"/>
    <col min="7" max="7" width="19.109375" customWidth="1"/>
    <col min="8" max="8" width="20.33203125" customWidth="1"/>
    <col min="9" max="9" width="15.109375" customWidth="1"/>
    <col min="10" max="10" width="13.6640625" customWidth="1"/>
    <col min="13" max="13" width="18.8867187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N11+I16</f>
        <v>0.92447507499999992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4</v>
      </c>
    </row>
    <row r="3" spans="1:14" x14ac:dyDescent="0.3">
      <c r="A3" s="343" t="s">
        <v>534</v>
      </c>
      <c r="B3" s="319" t="s">
        <v>163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1223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3.6979002999999997</v>
      </c>
    </row>
    <row r="5" spans="1:14" x14ac:dyDescent="0.3">
      <c r="A5" s="343" t="s">
        <v>537</v>
      </c>
      <c r="B5" s="319" t="s">
        <v>170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/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606</v>
      </c>
      <c r="C10" s="494" t="s">
        <v>1278</v>
      </c>
      <c r="D10" s="495">
        <v>2.25</v>
      </c>
      <c r="E10" s="496">
        <v>4.2999999999999997E-2</v>
      </c>
      <c r="F10" s="497" t="s">
        <v>644</v>
      </c>
      <c r="G10" s="496">
        <v>3.3000000000000002E-2</v>
      </c>
      <c r="H10" s="498" t="s">
        <v>644</v>
      </c>
      <c r="I10" s="466" t="s">
        <v>1279</v>
      </c>
      <c r="J10" s="549">
        <f>E10*G10</f>
        <v>1.4189999999999999E-3</v>
      </c>
      <c r="K10" s="500">
        <v>5.0000000000000001E-3</v>
      </c>
      <c r="L10" s="500">
        <v>7860</v>
      </c>
      <c r="M10" s="496">
        <v>1</v>
      </c>
      <c r="N10" s="501">
        <f>IF(J10="",D10*M10,D10*J10*K10*L10*M10)</f>
        <v>0.12547507500000002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0.12547507500000002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ht="28.8" x14ac:dyDescent="0.3">
      <c r="A14" s="184">
        <v>10</v>
      </c>
      <c r="B14" s="508" t="s">
        <v>589</v>
      </c>
      <c r="C14" s="508" t="s">
        <v>1258</v>
      </c>
      <c r="D14" s="495">
        <v>1.3</v>
      </c>
      <c r="E14" s="497" t="s">
        <v>556</v>
      </c>
      <c r="F14" s="496">
        <v>1</v>
      </c>
      <c r="G14" s="509" t="s">
        <v>1410</v>
      </c>
      <c r="H14" s="509">
        <v>0.25</v>
      </c>
      <c r="I14" s="510">
        <f>D14*H14</f>
        <v>0.32500000000000001</v>
      </c>
      <c r="J14" s="478"/>
      <c r="K14" s="478"/>
      <c r="L14" s="478"/>
      <c r="M14" s="478"/>
      <c r="N14" s="478"/>
    </row>
    <row r="15" spans="1:14" x14ac:dyDescent="0.3">
      <c r="A15" s="184">
        <v>20</v>
      </c>
      <c r="B15" s="508" t="s">
        <v>591</v>
      </c>
      <c r="C15" s="508" t="s">
        <v>1280</v>
      </c>
      <c r="D15" s="495">
        <v>0.01</v>
      </c>
      <c r="E15" s="497" t="s">
        <v>593</v>
      </c>
      <c r="F15" s="532">
        <v>15.8</v>
      </c>
      <c r="G15" s="509" t="s">
        <v>1281</v>
      </c>
      <c r="H15" s="509">
        <v>3</v>
      </c>
      <c r="I15" s="510">
        <f>F15*D15*H15</f>
        <v>0.47399999999999998</v>
      </c>
      <c r="J15" s="478"/>
      <c r="K15" s="478"/>
      <c r="L15" s="478"/>
      <c r="M15" s="478"/>
      <c r="N15" s="478"/>
    </row>
    <row r="16" spans="1:14" x14ac:dyDescent="0.3">
      <c r="A16" s="504"/>
      <c r="B16" s="504"/>
      <c r="C16" s="504"/>
      <c r="D16" s="504"/>
      <c r="E16" s="504"/>
      <c r="F16" s="504"/>
      <c r="G16" s="504"/>
      <c r="H16" s="372" t="s">
        <v>547</v>
      </c>
      <c r="I16" s="541">
        <f>SUM(I14:I15)</f>
        <v>0.79899999999999993</v>
      </c>
      <c r="J16" s="504"/>
      <c r="K16" s="504"/>
      <c r="L16" s="504"/>
      <c r="M16" s="504"/>
      <c r="N16" s="504"/>
    </row>
    <row r="17" spans="1:14" x14ac:dyDescent="0.3">
      <c r="A17" s="522"/>
      <c r="B17" s="522"/>
      <c r="C17" s="522"/>
      <c r="D17" s="522"/>
      <c r="E17" s="522"/>
      <c r="F17" s="522"/>
      <c r="G17" s="522"/>
      <c r="H17" s="522"/>
      <c r="I17" s="522"/>
      <c r="J17" s="522"/>
      <c r="K17" s="522"/>
      <c r="L17" s="522"/>
      <c r="M17" s="522"/>
      <c r="N17" s="522"/>
    </row>
  </sheetData>
  <pageMargins left="0.7" right="0.7" top="0.75" bottom="0.75" header="0.3" footer="0.3"/>
  <pageSetup paperSize="9" scale="61" orientation="landscape"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N42"/>
  <sheetViews>
    <sheetView showGridLines="0" workbookViewId="0"/>
  </sheetViews>
  <sheetFormatPr defaultColWidth="11.5546875" defaultRowHeight="14.4" x14ac:dyDescent="0.3"/>
  <cols>
    <col min="1" max="1" width="14.109375" customWidth="1"/>
    <col min="2" max="2" width="28.33203125" customWidth="1"/>
    <col min="3" max="3" width="30.5546875" customWidth="1"/>
    <col min="7" max="7" width="12.6640625" customWidth="1"/>
    <col min="8" max="8" width="14" customWidth="1"/>
    <col min="10" max="10" width="14.44140625" customWidth="1"/>
    <col min="13" max="13" width="19.44140625" customWidth="1"/>
  </cols>
  <sheetData>
    <row r="1" spans="1:14" x14ac:dyDescent="0.3">
      <c r="A1" s="476" t="s">
        <v>523</v>
      </c>
      <c r="B1" s="477" t="s">
        <v>524</v>
      </c>
      <c r="C1" s="478"/>
      <c r="D1" s="478"/>
      <c r="E1" s="478"/>
      <c r="F1" s="478"/>
      <c r="G1" s="478"/>
      <c r="H1" s="478"/>
      <c r="I1" s="478"/>
      <c r="J1" s="476" t="s">
        <v>528</v>
      </c>
      <c r="K1" s="479">
        <v>81</v>
      </c>
      <c r="L1" s="478"/>
      <c r="M1" s="480" t="s">
        <v>531</v>
      </c>
      <c r="N1" s="481">
        <f>E13+N18+I34+J42</f>
        <v>528.43776883957173</v>
      </c>
    </row>
    <row r="2" spans="1:14" x14ac:dyDescent="0.3">
      <c r="A2" s="476" t="s">
        <v>532</v>
      </c>
      <c r="B2" s="477" t="s">
        <v>1108</v>
      </c>
      <c r="C2" s="478"/>
      <c r="D2" s="478"/>
      <c r="E2" s="478"/>
      <c r="F2" s="478"/>
      <c r="G2" s="478"/>
      <c r="H2" s="478"/>
      <c r="I2" s="478"/>
      <c r="J2" s="477"/>
      <c r="K2" s="478"/>
      <c r="L2" s="478"/>
      <c r="M2" s="476" t="s">
        <v>533</v>
      </c>
      <c r="N2" s="482">
        <v>1</v>
      </c>
    </row>
    <row r="3" spans="1:14" x14ac:dyDescent="0.3">
      <c r="A3" s="476" t="s">
        <v>534</v>
      </c>
      <c r="B3" s="477" t="s">
        <v>172</v>
      </c>
      <c r="C3" s="478"/>
      <c r="D3" s="478"/>
      <c r="E3" s="478"/>
      <c r="F3" s="478"/>
      <c r="G3" s="478"/>
      <c r="H3" s="478"/>
      <c r="I3" s="478"/>
      <c r="J3" s="476" t="s">
        <v>536</v>
      </c>
      <c r="K3" s="478"/>
      <c r="L3" s="478"/>
      <c r="M3" s="477"/>
      <c r="N3" s="478"/>
    </row>
    <row r="4" spans="1:14" x14ac:dyDescent="0.3">
      <c r="A4" s="476" t="s">
        <v>537</v>
      </c>
      <c r="B4" s="477" t="s">
        <v>171</v>
      </c>
      <c r="C4" s="478"/>
      <c r="D4" s="478"/>
      <c r="E4" s="478"/>
      <c r="F4" s="478"/>
      <c r="G4" s="478"/>
      <c r="H4" s="478"/>
      <c r="I4" s="478"/>
      <c r="J4" s="476" t="s">
        <v>538</v>
      </c>
      <c r="K4" s="478"/>
      <c r="L4" s="478"/>
      <c r="M4" s="480" t="s">
        <v>539</v>
      </c>
      <c r="N4" s="481">
        <f>N1*N2</f>
        <v>528.43776883957173</v>
      </c>
    </row>
    <row r="5" spans="1:14" x14ac:dyDescent="0.3">
      <c r="A5" s="476" t="s">
        <v>540</v>
      </c>
      <c r="B5" s="477" t="s">
        <v>36</v>
      </c>
      <c r="C5" s="478"/>
      <c r="D5" s="478"/>
      <c r="E5" s="478"/>
      <c r="F5" s="478"/>
      <c r="G5" s="478"/>
      <c r="H5" s="478"/>
      <c r="I5" s="478"/>
      <c r="J5" s="476" t="s">
        <v>541</v>
      </c>
      <c r="K5" s="478"/>
      <c r="L5" s="478"/>
      <c r="M5" s="478"/>
      <c r="N5" s="478"/>
    </row>
    <row r="6" spans="1:14" x14ac:dyDescent="0.3">
      <c r="A6" s="476" t="s">
        <v>542</v>
      </c>
      <c r="B6" s="478"/>
      <c r="C6" s="478"/>
      <c r="D6" s="478"/>
      <c r="E6" s="478"/>
      <c r="F6" s="478"/>
      <c r="G6" s="478"/>
      <c r="H6" s="478"/>
      <c r="I6" s="478"/>
      <c r="J6" s="478"/>
      <c r="K6" s="478"/>
      <c r="L6" s="478"/>
      <c r="M6" s="478"/>
      <c r="N6" s="478"/>
    </row>
    <row r="7" spans="1:14" x14ac:dyDescent="0.3">
      <c r="A7" s="478"/>
      <c r="B7" s="478"/>
      <c r="C7" s="478"/>
      <c r="D7" s="478"/>
      <c r="E7" s="478"/>
      <c r="F7" s="478"/>
      <c r="G7" s="478"/>
      <c r="H7" s="478"/>
      <c r="I7" s="478"/>
      <c r="J7" s="478"/>
      <c r="K7" s="478"/>
      <c r="L7" s="478"/>
      <c r="M7" s="478"/>
      <c r="N7" s="478"/>
    </row>
    <row r="8" spans="1:14" x14ac:dyDescent="0.3">
      <c r="A8" s="483" t="s">
        <v>544</v>
      </c>
      <c r="B8" s="483" t="s">
        <v>545</v>
      </c>
      <c r="C8" s="483" t="s">
        <v>546</v>
      </c>
      <c r="D8" s="483" t="s">
        <v>28</v>
      </c>
      <c r="E8" s="483" t="s">
        <v>547</v>
      </c>
      <c r="F8" s="477"/>
      <c r="G8" s="477"/>
      <c r="H8" s="477"/>
      <c r="I8" s="477"/>
      <c r="J8" s="477"/>
      <c r="K8" s="477"/>
      <c r="L8" s="477"/>
      <c r="M8" s="477"/>
      <c r="N8" s="477"/>
    </row>
    <row r="9" spans="1:14" x14ac:dyDescent="0.3">
      <c r="A9" s="485">
        <v>10</v>
      </c>
      <c r="B9" s="486" t="s">
        <v>1282</v>
      </c>
      <c r="C9" s="487">
        <f>'EN 10001'!N1</f>
        <v>67.721670109364652</v>
      </c>
      <c r="D9" s="488">
        <v>2</v>
      </c>
      <c r="E9" s="489">
        <f>C9*D9</f>
        <v>135.4433402187293</v>
      </c>
      <c r="F9" s="478"/>
      <c r="G9" s="478"/>
      <c r="H9" s="478"/>
      <c r="I9" s="478"/>
      <c r="J9" s="478"/>
      <c r="K9" s="478"/>
      <c r="L9" s="478"/>
      <c r="M9" s="478"/>
      <c r="N9" s="478"/>
    </row>
    <row r="10" spans="1:14" x14ac:dyDescent="0.3">
      <c r="A10" s="485">
        <v>20</v>
      </c>
      <c r="B10" s="486" t="s">
        <v>1283</v>
      </c>
      <c r="C10" s="487">
        <f>'EN 10002'!N1</f>
        <v>59.565811811695127</v>
      </c>
      <c r="D10" s="488">
        <v>2</v>
      </c>
      <c r="E10" s="489">
        <f>C10*D10</f>
        <v>119.13162362339025</v>
      </c>
      <c r="F10" s="478"/>
      <c r="G10" s="478"/>
      <c r="H10" s="478"/>
      <c r="I10" s="478"/>
      <c r="J10" s="478"/>
      <c r="K10" s="478"/>
      <c r="L10" s="478"/>
      <c r="M10" s="478"/>
      <c r="N10" s="478"/>
    </row>
    <row r="11" spans="1:14" x14ac:dyDescent="0.3">
      <c r="A11" s="485">
        <v>30</v>
      </c>
      <c r="B11" s="486" t="s">
        <v>1284</v>
      </c>
      <c r="C11" s="487">
        <f>'EN 10003'!N1</f>
        <v>20.859922268656938</v>
      </c>
      <c r="D11" s="488">
        <v>1</v>
      </c>
      <c r="E11" s="489">
        <f>C11*D11</f>
        <v>20.859922268656938</v>
      </c>
      <c r="F11" s="478"/>
      <c r="G11" s="478"/>
      <c r="H11" s="478"/>
      <c r="I11" s="478"/>
      <c r="J11" s="478"/>
      <c r="K11" s="478"/>
      <c r="L11" s="478"/>
      <c r="M11" s="478"/>
      <c r="N11" s="478"/>
    </row>
    <row r="12" spans="1:14" x14ac:dyDescent="0.3">
      <c r="A12" s="485">
        <v>40</v>
      </c>
      <c r="B12" s="486" t="s">
        <v>1285</v>
      </c>
      <c r="C12" s="487">
        <f>'EN 10004'!N1</f>
        <v>20.70288272879527</v>
      </c>
      <c r="D12" s="488">
        <v>1</v>
      </c>
      <c r="E12" s="489">
        <f>C12*D12</f>
        <v>20.70288272879527</v>
      </c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478"/>
      <c r="B13" s="478"/>
      <c r="C13" s="478"/>
      <c r="D13" s="491" t="s">
        <v>547</v>
      </c>
      <c r="E13" s="492">
        <f>SUM(E9:E12)</f>
        <v>296.13776883957178</v>
      </c>
      <c r="F13" s="490"/>
      <c r="G13" s="478"/>
      <c r="H13" s="478"/>
      <c r="I13" s="478"/>
      <c r="J13" s="478"/>
      <c r="K13" s="478"/>
      <c r="L13" s="478"/>
      <c r="M13" s="478"/>
      <c r="N13" s="478"/>
    </row>
    <row r="14" spans="1:14" x14ac:dyDescent="0.3">
      <c r="A14" s="478"/>
      <c r="B14" s="478"/>
      <c r="C14" s="478"/>
      <c r="D14" s="478"/>
      <c r="E14" s="478"/>
      <c r="F14" s="478"/>
      <c r="G14" s="478"/>
      <c r="H14" s="478"/>
      <c r="I14" s="478"/>
      <c r="J14" s="478"/>
      <c r="K14" s="478"/>
      <c r="L14" s="478"/>
      <c r="M14" s="478"/>
      <c r="N14" s="478"/>
    </row>
    <row r="15" spans="1:14" x14ac:dyDescent="0.3">
      <c r="A15" s="483" t="s">
        <v>544</v>
      </c>
      <c r="B15" s="483" t="s">
        <v>581</v>
      </c>
      <c r="C15" s="483" t="s">
        <v>549</v>
      </c>
      <c r="D15" s="483" t="s">
        <v>550</v>
      </c>
      <c r="E15" s="483" t="s">
        <v>567</v>
      </c>
      <c r="F15" s="483" t="s">
        <v>568</v>
      </c>
      <c r="G15" s="483" t="s">
        <v>569</v>
      </c>
      <c r="H15" s="483" t="s">
        <v>570</v>
      </c>
      <c r="I15" s="483" t="s">
        <v>582</v>
      </c>
      <c r="J15" s="483" t="s">
        <v>583</v>
      </c>
      <c r="K15" s="483" t="s">
        <v>584</v>
      </c>
      <c r="L15" s="483" t="s">
        <v>585</v>
      </c>
      <c r="M15" s="483" t="s">
        <v>28</v>
      </c>
      <c r="N15" s="483" t="s">
        <v>547</v>
      </c>
    </row>
    <row r="16" spans="1:14" x14ac:dyDescent="0.3">
      <c r="A16" s="184">
        <v>10</v>
      </c>
      <c r="B16" s="381" t="s">
        <v>1286</v>
      </c>
      <c r="C16" s="494" t="s">
        <v>1287</v>
      </c>
      <c r="D16" s="495">
        <v>45</v>
      </c>
      <c r="E16" s="496"/>
      <c r="F16" s="497" t="s">
        <v>556</v>
      </c>
      <c r="G16" s="496"/>
      <c r="H16" s="498"/>
      <c r="I16" s="466"/>
      <c r="J16" s="499"/>
      <c r="K16" s="500"/>
      <c r="L16" s="500"/>
      <c r="M16" s="550">
        <v>4</v>
      </c>
      <c r="N16" s="501">
        <f>IF(J16="",D16*M16,D16*J16*K16*L16*M16)</f>
        <v>180</v>
      </c>
    </row>
    <row r="17" spans="1:14" x14ac:dyDescent="0.3">
      <c r="A17" s="184">
        <v>20</v>
      </c>
      <c r="B17" s="494" t="s">
        <v>1288</v>
      </c>
      <c r="C17" s="494" t="s">
        <v>1289</v>
      </c>
      <c r="D17" s="495">
        <v>5</v>
      </c>
      <c r="E17" s="496"/>
      <c r="F17" s="497" t="s">
        <v>556</v>
      </c>
      <c r="G17" s="496"/>
      <c r="H17" s="498"/>
      <c r="I17" s="502"/>
      <c r="J17" s="499"/>
      <c r="K17" s="500"/>
      <c r="L17" s="503"/>
      <c r="M17" s="550">
        <v>4</v>
      </c>
      <c r="N17" s="501">
        <f>IF(J17="",D17*M17,D17*J17*K17*L17*M17)</f>
        <v>20</v>
      </c>
    </row>
    <row r="18" spans="1:14" x14ac:dyDescent="0.3">
      <c r="A18" s="504"/>
      <c r="B18" s="504"/>
      <c r="C18" s="504"/>
      <c r="D18" s="504"/>
      <c r="E18" s="504"/>
      <c r="F18" s="504"/>
      <c r="G18" s="504"/>
      <c r="H18" s="504"/>
      <c r="I18" s="504"/>
      <c r="J18" s="504"/>
      <c r="K18" s="504"/>
      <c r="L18" s="504"/>
      <c r="M18" s="505" t="s">
        <v>547</v>
      </c>
      <c r="N18" s="492">
        <f>SUM(N16:N17)</f>
        <v>200</v>
      </c>
    </row>
    <row r="19" spans="1:14" x14ac:dyDescent="0.3">
      <c r="A19" s="478"/>
      <c r="B19" s="478"/>
      <c r="C19" s="478"/>
      <c r="D19" s="478"/>
      <c r="E19" s="478"/>
      <c r="F19" s="478"/>
      <c r="G19" s="478"/>
      <c r="H19" s="478"/>
      <c r="I19" s="478"/>
      <c r="J19" s="478"/>
      <c r="K19" s="478"/>
      <c r="L19" s="478"/>
      <c r="M19" s="478"/>
      <c r="N19" s="478"/>
    </row>
    <row r="20" spans="1:14" x14ac:dyDescent="0.3">
      <c r="A20" s="483" t="s">
        <v>544</v>
      </c>
      <c r="B20" s="483" t="s">
        <v>548</v>
      </c>
      <c r="C20" s="483" t="s">
        <v>549</v>
      </c>
      <c r="D20" s="483" t="s">
        <v>550</v>
      </c>
      <c r="E20" s="483" t="s">
        <v>551</v>
      </c>
      <c r="F20" s="483" t="s">
        <v>28</v>
      </c>
      <c r="G20" s="483" t="s">
        <v>552</v>
      </c>
      <c r="H20" s="483" t="s">
        <v>553</v>
      </c>
      <c r="I20" s="483" t="s">
        <v>547</v>
      </c>
      <c r="J20" s="504"/>
      <c r="K20" s="504"/>
      <c r="L20" s="504"/>
      <c r="M20" s="504"/>
      <c r="N20" s="504"/>
    </row>
    <row r="21" spans="1:14" ht="28.8" x14ac:dyDescent="0.3">
      <c r="A21" s="184">
        <v>10</v>
      </c>
      <c r="B21" s="508" t="s">
        <v>1006</v>
      </c>
      <c r="C21" s="508" t="s">
        <v>1290</v>
      </c>
      <c r="D21" s="495">
        <v>0.56000000000000005</v>
      </c>
      <c r="E21" s="497" t="s">
        <v>556</v>
      </c>
      <c r="F21" s="496">
        <v>2</v>
      </c>
      <c r="G21" s="509"/>
      <c r="H21" s="509"/>
      <c r="I21" s="510">
        <f>D21*F21</f>
        <v>1.1200000000000001</v>
      </c>
      <c r="J21" s="478"/>
      <c r="K21" s="478"/>
      <c r="L21" s="478"/>
      <c r="M21" s="478"/>
      <c r="N21" s="478"/>
    </row>
    <row r="22" spans="1:14" ht="28.8" x14ac:dyDescent="0.3">
      <c r="A22" s="184">
        <v>20</v>
      </c>
      <c r="B22" s="508" t="s">
        <v>674</v>
      </c>
      <c r="C22" s="508" t="s">
        <v>1291</v>
      </c>
      <c r="D22" s="495">
        <v>1.5</v>
      </c>
      <c r="E22" s="497" t="s">
        <v>556</v>
      </c>
      <c r="F22" s="496">
        <v>2</v>
      </c>
      <c r="G22" s="509"/>
      <c r="H22" s="509"/>
      <c r="I22" s="510">
        <f>D22*F22</f>
        <v>3</v>
      </c>
      <c r="J22" s="478"/>
      <c r="K22" s="478"/>
      <c r="L22" s="478"/>
      <c r="M22" s="478"/>
      <c r="N22" s="478"/>
    </row>
    <row r="23" spans="1:14" x14ac:dyDescent="0.3">
      <c r="A23" s="184">
        <v>30</v>
      </c>
      <c r="B23" s="508" t="s">
        <v>760</v>
      </c>
      <c r="C23" s="508" t="s">
        <v>1292</v>
      </c>
      <c r="D23" s="495">
        <v>0.19</v>
      </c>
      <c r="E23" s="497" t="s">
        <v>556</v>
      </c>
      <c r="F23" s="496">
        <v>4</v>
      </c>
      <c r="G23" s="509"/>
      <c r="H23" s="509"/>
      <c r="I23" s="510">
        <f>D23*F23</f>
        <v>0.76</v>
      </c>
      <c r="J23" s="478"/>
      <c r="K23" s="478"/>
      <c r="L23" s="478"/>
      <c r="M23" s="478"/>
      <c r="N23" s="478"/>
    </row>
    <row r="24" spans="1:14" x14ac:dyDescent="0.3">
      <c r="A24" s="184">
        <v>40</v>
      </c>
      <c r="B24" s="508" t="s">
        <v>760</v>
      </c>
      <c r="C24" s="508" t="s">
        <v>1293</v>
      </c>
      <c r="D24" s="495">
        <v>0.19</v>
      </c>
      <c r="E24" s="497" t="s">
        <v>556</v>
      </c>
      <c r="F24" s="496">
        <v>4</v>
      </c>
      <c r="G24" s="509"/>
      <c r="H24" s="509"/>
      <c r="I24" s="510">
        <f t="shared" ref="I24:I32" si="0">D24*F24</f>
        <v>0.76</v>
      </c>
      <c r="J24" s="478"/>
      <c r="K24" s="478"/>
      <c r="L24" s="478"/>
      <c r="M24" s="478"/>
      <c r="N24" s="478"/>
    </row>
    <row r="25" spans="1:14" x14ac:dyDescent="0.3">
      <c r="A25" s="184">
        <v>50</v>
      </c>
      <c r="B25" s="508" t="s">
        <v>749</v>
      </c>
      <c r="C25" s="508" t="s">
        <v>1294</v>
      </c>
      <c r="D25" s="495">
        <v>0.13</v>
      </c>
      <c r="E25" s="497" t="s">
        <v>556</v>
      </c>
      <c r="F25" s="496">
        <v>4</v>
      </c>
      <c r="G25" s="509"/>
      <c r="H25" s="509"/>
      <c r="I25" s="510">
        <f t="shared" si="0"/>
        <v>0.52</v>
      </c>
      <c r="J25" s="478"/>
      <c r="K25" s="478"/>
      <c r="L25" s="478"/>
      <c r="M25" s="478"/>
      <c r="N25" s="478"/>
    </row>
    <row r="26" spans="1:14" x14ac:dyDescent="0.3">
      <c r="A26" s="184">
        <v>60</v>
      </c>
      <c r="B26" s="508" t="s">
        <v>760</v>
      </c>
      <c r="C26" s="508" t="s">
        <v>1293</v>
      </c>
      <c r="D26" s="495">
        <v>0.19</v>
      </c>
      <c r="E26" s="497" t="s">
        <v>556</v>
      </c>
      <c r="F26" s="496">
        <v>4</v>
      </c>
      <c r="G26" s="509"/>
      <c r="H26" s="509"/>
      <c r="I26" s="510">
        <f t="shared" si="0"/>
        <v>0.76</v>
      </c>
      <c r="J26" s="478"/>
      <c r="K26" s="478"/>
      <c r="L26" s="478"/>
      <c r="M26" s="478"/>
      <c r="N26" s="478"/>
    </row>
    <row r="27" spans="1:14" ht="28.8" x14ac:dyDescent="0.3">
      <c r="A27" s="184">
        <v>70</v>
      </c>
      <c r="B27" s="508" t="s">
        <v>1113</v>
      </c>
      <c r="C27" s="508" t="s">
        <v>1295</v>
      </c>
      <c r="D27" s="495">
        <v>0.19</v>
      </c>
      <c r="E27" s="497" t="s">
        <v>556</v>
      </c>
      <c r="F27" s="496">
        <v>4</v>
      </c>
      <c r="G27" s="509"/>
      <c r="H27" s="509"/>
      <c r="I27" s="510">
        <f t="shared" si="0"/>
        <v>0.76</v>
      </c>
      <c r="J27" s="478"/>
      <c r="K27" s="478"/>
      <c r="L27" s="478"/>
      <c r="M27" s="478"/>
      <c r="N27" s="478"/>
    </row>
    <row r="28" spans="1:14" ht="28.8" x14ac:dyDescent="0.3">
      <c r="A28" s="184">
        <v>80</v>
      </c>
      <c r="B28" s="508" t="s">
        <v>760</v>
      </c>
      <c r="C28" s="508" t="s">
        <v>1296</v>
      </c>
      <c r="D28" s="495">
        <v>0.19</v>
      </c>
      <c r="E28" s="497" t="s">
        <v>556</v>
      </c>
      <c r="F28" s="496">
        <v>4</v>
      </c>
      <c r="G28" s="509"/>
      <c r="H28" s="509"/>
      <c r="I28" s="510">
        <f t="shared" si="0"/>
        <v>0.76</v>
      </c>
      <c r="J28" s="478"/>
      <c r="K28" s="478"/>
      <c r="L28" s="478"/>
      <c r="M28" s="478"/>
      <c r="N28" s="478"/>
    </row>
    <row r="29" spans="1:14" ht="28.8" x14ac:dyDescent="0.3">
      <c r="A29" s="184">
        <v>90</v>
      </c>
      <c r="B29" s="508" t="s">
        <v>1006</v>
      </c>
      <c r="C29" s="508" t="s">
        <v>1297</v>
      </c>
      <c r="D29" s="495">
        <v>0.56000000000000005</v>
      </c>
      <c r="E29" s="497" t="s">
        <v>556</v>
      </c>
      <c r="F29" s="496">
        <v>2</v>
      </c>
      <c r="G29" s="509"/>
      <c r="H29" s="509"/>
      <c r="I29" s="510">
        <f t="shared" si="0"/>
        <v>1.1200000000000001</v>
      </c>
      <c r="J29" s="478"/>
      <c r="K29" s="478"/>
      <c r="L29" s="478"/>
      <c r="M29" s="478"/>
      <c r="N29" s="478"/>
    </row>
    <row r="30" spans="1:14" ht="28.8" x14ac:dyDescent="0.3">
      <c r="A30" s="184">
        <v>100</v>
      </c>
      <c r="B30" s="508" t="s">
        <v>1006</v>
      </c>
      <c r="C30" s="508" t="s">
        <v>1297</v>
      </c>
      <c r="D30" s="495">
        <v>0.56000000000000005</v>
      </c>
      <c r="E30" s="497" t="s">
        <v>556</v>
      </c>
      <c r="F30" s="496">
        <v>2</v>
      </c>
      <c r="G30" s="509"/>
      <c r="H30" s="509"/>
      <c r="I30" s="510">
        <f t="shared" si="0"/>
        <v>1.1200000000000001</v>
      </c>
      <c r="J30" s="478"/>
      <c r="K30" s="478"/>
      <c r="L30" s="478"/>
      <c r="M30" s="478"/>
      <c r="N30" s="478"/>
    </row>
    <row r="31" spans="1:14" x14ac:dyDescent="0.3">
      <c r="A31" s="184">
        <v>110</v>
      </c>
      <c r="B31" s="508" t="s">
        <v>1006</v>
      </c>
      <c r="C31" s="508" t="s">
        <v>1298</v>
      </c>
      <c r="D31" s="495">
        <v>0.56000000000000005</v>
      </c>
      <c r="E31" s="497" t="s">
        <v>556</v>
      </c>
      <c r="F31" s="496">
        <v>2</v>
      </c>
      <c r="G31" s="509"/>
      <c r="H31" s="509"/>
      <c r="I31" s="510">
        <f t="shared" si="0"/>
        <v>1.1200000000000001</v>
      </c>
      <c r="J31" s="478"/>
      <c r="K31" s="478"/>
      <c r="L31" s="478"/>
      <c r="M31" s="478"/>
      <c r="N31" s="478"/>
    </row>
    <row r="32" spans="1:14" ht="28.8" x14ac:dyDescent="0.3">
      <c r="A32" s="184">
        <v>120</v>
      </c>
      <c r="B32" s="508" t="s">
        <v>1006</v>
      </c>
      <c r="C32" s="508" t="s">
        <v>1299</v>
      </c>
      <c r="D32" s="495">
        <v>0.56000000000000005</v>
      </c>
      <c r="E32" s="497" t="s">
        <v>556</v>
      </c>
      <c r="F32" s="496">
        <v>2</v>
      </c>
      <c r="G32" s="509"/>
      <c r="H32" s="509"/>
      <c r="I32" s="510">
        <f t="shared" si="0"/>
        <v>1.1200000000000001</v>
      </c>
      <c r="J32" s="478"/>
      <c r="K32" s="478"/>
      <c r="L32" s="478"/>
      <c r="M32" s="478"/>
      <c r="N32" s="478"/>
    </row>
    <row r="33" spans="1:14" x14ac:dyDescent="0.3">
      <c r="A33" s="184">
        <v>130</v>
      </c>
      <c r="B33" s="508" t="s">
        <v>674</v>
      </c>
      <c r="C33" s="508" t="s">
        <v>1300</v>
      </c>
      <c r="D33" s="495">
        <v>1.5</v>
      </c>
      <c r="E33" s="497" t="s">
        <v>556</v>
      </c>
      <c r="F33" s="496">
        <v>2</v>
      </c>
      <c r="G33" s="509"/>
      <c r="H33" s="509"/>
      <c r="I33" s="510">
        <f>D33*F33</f>
        <v>3</v>
      </c>
      <c r="J33" s="478"/>
      <c r="K33" s="478"/>
      <c r="L33" s="478"/>
      <c r="M33" s="478"/>
      <c r="N33" s="478"/>
    </row>
    <row r="34" spans="1:14" x14ac:dyDescent="0.3">
      <c r="A34" s="504"/>
      <c r="B34" s="504"/>
      <c r="C34" s="504"/>
      <c r="D34" s="504"/>
      <c r="E34" s="504"/>
      <c r="F34" s="504"/>
      <c r="G34" s="504"/>
      <c r="H34" s="505" t="s">
        <v>547</v>
      </c>
      <c r="I34" s="492">
        <f>SUM(I21:I33)</f>
        <v>15.920000000000002</v>
      </c>
      <c r="J34" s="522"/>
      <c r="K34" s="504"/>
      <c r="L34" s="504"/>
      <c r="M34" s="504"/>
      <c r="N34" s="504"/>
    </row>
    <row r="35" spans="1:14" x14ac:dyDescent="0.3">
      <c r="A35" s="478"/>
      <c r="B35" s="478"/>
      <c r="C35" s="478"/>
      <c r="D35" s="478"/>
      <c r="E35" s="478"/>
      <c r="F35" s="478"/>
      <c r="G35" s="478"/>
      <c r="H35" s="478"/>
      <c r="I35" s="478"/>
      <c r="J35" s="478"/>
      <c r="K35" s="478"/>
      <c r="L35" s="478"/>
      <c r="M35" s="478"/>
      <c r="N35" s="478"/>
    </row>
    <row r="36" spans="1:14" x14ac:dyDescent="0.3">
      <c r="A36" s="483" t="s">
        <v>544</v>
      </c>
      <c r="B36" s="483" t="s">
        <v>566</v>
      </c>
      <c r="C36" s="483" t="s">
        <v>549</v>
      </c>
      <c r="D36" s="483" t="s">
        <v>550</v>
      </c>
      <c r="E36" s="483" t="s">
        <v>567</v>
      </c>
      <c r="F36" s="483" t="s">
        <v>568</v>
      </c>
      <c r="G36" s="483" t="s">
        <v>569</v>
      </c>
      <c r="H36" s="483" t="s">
        <v>570</v>
      </c>
      <c r="I36" s="483" t="s">
        <v>28</v>
      </c>
      <c r="J36" s="483" t="s">
        <v>547</v>
      </c>
      <c r="K36" s="504"/>
      <c r="L36" s="504"/>
      <c r="M36" s="504"/>
      <c r="N36" s="504"/>
    </row>
    <row r="37" spans="1:14" x14ac:dyDescent="0.3">
      <c r="A37" s="272">
        <v>10</v>
      </c>
      <c r="B37" s="381" t="s">
        <v>1301</v>
      </c>
      <c r="C37" s="486" t="s">
        <v>1302</v>
      </c>
      <c r="D37" s="523">
        <v>0.09</v>
      </c>
      <c r="E37" s="496">
        <v>20</v>
      </c>
      <c r="F37" s="524" t="s">
        <v>573</v>
      </c>
      <c r="G37" s="496"/>
      <c r="H37" s="525"/>
      <c r="I37" s="526">
        <v>8</v>
      </c>
      <c r="J37" s="495">
        <f>D37*I37</f>
        <v>0.72</v>
      </c>
      <c r="K37" s="478"/>
      <c r="L37" s="478"/>
      <c r="M37" s="478"/>
      <c r="N37" s="478"/>
    </row>
    <row r="38" spans="1:14" x14ac:dyDescent="0.3">
      <c r="A38" s="272">
        <v>20</v>
      </c>
      <c r="B38" s="381" t="s">
        <v>1303</v>
      </c>
      <c r="C38" s="486" t="s">
        <v>1304</v>
      </c>
      <c r="D38" s="523">
        <v>0.92</v>
      </c>
      <c r="E38" s="496">
        <v>65.5</v>
      </c>
      <c r="F38" s="524" t="s">
        <v>573</v>
      </c>
      <c r="G38" s="496"/>
      <c r="H38" s="525"/>
      <c r="I38" s="526">
        <v>2</v>
      </c>
      <c r="J38" s="495">
        <f>D38*I38</f>
        <v>1.84</v>
      </c>
      <c r="K38" s="478"/>
      <c r="L38" s="478"/>
      <c r="M38" s="478"/>
      <c r="N38" s="478"/>
    </row>
    <row r="39" spans="1:14" x14ac:dyDescent="0.3">
      <c r="A39" s="272">
        <v>30</v>
      </c>
      <c r="B39" s="381" t="s">
        <v>1303</v>
      </c>
      <c r="C39" s="486" t="s">
        <v>1304</v>
      </c>
      <c r="D39" s="523">
        <v>0.28000000000000003</v>
      </c>
      <c r="E39" s="496">
        <v>20</v>
      </c>
      <c r="F39" s="524" t="s">
        <v>573</v>
      </c>
      <c r="G39" s="496"/>
      <c r="H39" s="525"/>
      <c r="I39" s="526">
        <v>2</v>
      </c>
      <c r="J39" s="495">
        <f>D39*I39</f>
        <v>0.56000000000000005</v>
      </c>
      <c r="K39" s="478"/>
      <c r="L39" s="478"/>
      <c r="M39" s="478"/>
      <c r="N39" s="478"/>
    </row>
    <row r="40" spans="1:14" ht="28.8" x14ac:dyDescent="0.3">
      <c r="A40" s="272">
        <v>40</v>
      </c>
      <c r="B40" s="381" t="s">
        <v>684</v>
      </c>
      <c r="C40" s="486" t="s">
        <v>1305</v>
      </c>
      <c r="D40" s="523">
        <v>0.08</v>
      </c>
      <c r="E40" s="496">
        <v>8</v>
      </c>
      <c r="F40" s="524" t="s">
        <v>573</v>
      </c>
      <c r="G40" s="496">
        <v>20</v>
      </c>
      <c r="H40" s="525" t="s">
        <v>573</v>
      </c>
      <c r="I40" s="526">
        <v>2</v>
      </c>
      <c r="J40" s="495">
        <f>D40*I40</f>
        <v>0.16</v>
      </c>
      <c r="K40" s="478"/>
      <c r="L40" s="478"/>
      <c r="M40" s="478"/>
      <c r="N40" s="478"/>
    </row>
    <row r="41" spans="1:14" ht="28.8" x14ac:dyDescent="0.3">
      <c r="A41" s="272">
        <v>50</v>
      </c>
      <c r="B41" s="381" t="s">
        <v>1306</v>
      </c>
      <c r="C41" s="486" t="s">
        <v>1307</v>
      </c>
      <c r="D41" s="523">
        <v>6.55</v>
      </c>
      <c r="E41" s="496">
        <v>20</v>
      </c>
      <c r="F41" s="524" t="s">
        <v>573</v>
      </c>
      <c r="G41" s="496"/>
      <c r="H41" s="525"/>
      <c r="I41" s="526">
        <v>2</v>
      </c>
      <c r="J41" s="495">
        <f>D41*I41</f>
        <v>13.1</v>
      </c>
      <c r="K41" s="478"/>
      <c r="L41" s="478"/>
      <c r="M41" s="478"/>
      <c r="N41" s="478"/>
    </row>
    <row r="42" spans="1:14" x14ac:dyDescent="0.3">
      <c r="A42" s="504"/>
      <c r="B42" s="504"/>
      <c r="C42" s="504"/>
      <c r="D42" s="504"/>
      <c r="E42" s="504"/>
      <c r="F42" s="504"/>
      <c r="G42" s="504"/>
      <c r="H42" s="504"/>
      <c r="I42" s="505" t="s">
        <v>547</v>
      </c>
      <c r="J42" s="492">
        <f>SUM(J37:J41)</f>
        <v>16.38</v>
      </c>
      <c r="K42" s="504"/>
      <c r="L42" s="504"/>
      <c r="M42" s="504"/>
      <c r="N42" s="504"/>
    </row>
  </sheetData>
  <pageMargins left="0.7" right="0.7" top="0.75" bottom="0.75" header="0.3" footer="0.3"/>
  <pageSetup paperSize="9" scale="61" orientation="landscape" r:id="rId1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8"/>
  <sheetViews>
    <sheetView showGridLines="0" workbookViewId="0"/>
  </sheetViews>
  <sheetFormatPr defaultColWidth="11.5546875" defaultRowHeight="14.4" x14ac:dyDescent="0.3"/>
  <cols>
    <col min="2" max="2" width="33.6640625" bestFit="1" customWidth="1"/>
    <col min="3" max="3" width="22.6640625" customWidth="1"/>
    <col min="6" max="6" width="12.5546875" customWidth="1"/>
    <col min="9" max="9" width="16.44140625" customWidth="1"/>
    <col min="13" max="13" width="16.10937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N11+I18</f>
        <v>67.721670109364652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2</v>
      </c>
    </row>
    <row r="3" spans="1:14" x14ac:dyDescent="0.3">
      <c r="A3" s="343" t="s">
        <v>534</v>
      </c>
      <c r="B3" s="319" t="s">
        <v>172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1282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135.4433402187293</v>
      </c>
    </row>
    <row r="5" spans="1:14" x14ac:dyDescent="0.3">
      <c r="A5" s="343" t="s">
        <v>537</v>
      </c>
      <c r="B5" s="319" t="s">
        <v>173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 t="s">
        <v>1117</v>
      </c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1308</v>
      </c>
      <c r="C10" s="494" t="s">
        <v>1309</v>
      </c>
      <c r="D10" s="495">
        <v>2.25</v>
      </c>
      <c r="E10" s="496"/>
      <c r="F10" s="497"/>
      <c r="G10" s="496"/>
      <c r="H10" s="498"/>
      <c r="I10" s="466" t="s">
        <v>1310</v>
      </c>
      <c r="J10" s="549">
        <f>PI()*0.0655^2/4</f>
        <v>3.369554470515903E-3</v>
      </c>
      <c r="K10" s="500">
        <v>0.157</v>
      </c>
      <c r="L10" s="500">
        <v>8010</v>
      </c>
      <c r="M10" s="550">
        <v>1</v>
      </c>
      <c r="N10" s="501">
        <f>IF(J10="",D10*M10,D10*J10*K10*L10*M10)</f>
        <v>9.5342638848450409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9.5342638848450409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ht="43.2" x14ac:dyDescent="0.3">
      <c r="A14" s="184">
        <v>10</v>
      </c>
      <c r="B14" s="508" t="s">
        <v>589</v>
      </c>
      <c r="C14" s="508" t="s">
        <v>1311</v>
      </c>
      <c r="D14" s="495">
        <v>1.3</v>
      </c>
      <c r="E14" s="497" t="s">
        <v>556</v>
      </c>
      <c r="F14" s="496">
        <v>1</v>
      </c>
      <c r="G14" s="509"/>
      <c r="H14" s="509"/>
      <c r="I14" s="510">
        <f>F14*D14</f>
        <v>1.3</v>
      </c>
      <c r="J14" s="478"/>
      <c r="K14" s="478"/>
      <c r="L14" s="478"/>
      <c r="M14" s="478"/>
      <c r="N14" s="478"/>
    </row>
    <row r="15" spans="1:14" ht="28.8" x14ac:dyDescent="0.3">
      <c r="A15" s="184">
        <v>20</v>
      </c>
      <c r="B15" s="508" t="s">
        <v>609</v>
      </c>
      <c r="C15" s="508" t="s">
        <v>1312</v>
      </c>
      <c r="D15" s="495">
        <v>0.04</v>
      </c>
      <c r="E15" s="497" t="s">
        <v>610</v>
      </c>
      <c r="F15" s="532">
        <f>J10*K10*1000000-76</f>
        <v>453.02005187099678</v>
      </c>
      <c r="G15" s="509" t="s">
        <v>1281</v>
      </c>
      <c r="H15" s="509">
        <v>3</v>
      </c>
      <c r="I15" s="510">
        <f>F15*D15*H15</f>
        <v>54.362406224519617</v>
      </c>
      <c r="J15" s="478"/>
      <c r="K15" s="478"/>
      <c r="L15" s="478"/>
      <c r="M15" s="478"/>
      <c r="N15" s="478"/>
    </row>
    <row r="16" spans="1:14" ht="43.2" x14ac:dyDescent="0.3">
      <c r="A16" s="184">
        <v>30</v>
      </c>
      <c r="B16" s="508" t="s">
        <v>589</v>
      </c>
      <c r="C16" s="508" t="s">
        <v>1313</v>
      </c>
      <c r="D16" s="495">
        <v>1.3</v>
      </c>
      <c r="E16" s="497" t="s">
        <v>556</v>
      </c>
      <c r="F16" s="496">
        <v>1</v>
      </c>
      <c r="G16" s="509"/>
      <c r="H16" s="509"/>
      <c r="I16" s="510">
        <f>F16*D16</f>
        <v>1.3</v>
      </c>
      <c r="J16" s="478"/>
      <c r="K16" s="478"/>
      <c r="L16" s="478"/>
      <c r="M16" s="478"/>
      <c r="N16" s="478"/>
    </row>
    <row r="17" spans="1:14" ht="28.8" x14ac:dyDescent="0.3">
      <c r="A17" s="184">
        <v>40</v>
      </c>
      <c r="B17" s="508" t="s">
        <v>1256</v>
      </c>
      <c r="C17" s="508" t="s">
        <v>1314</v>
      </c>
      <c r="D17" s="495">
        <v>0.5</v>
      </c>
      <c r="E17" s="497" t="s">
        <v>593</v>
      </c>
      <c r="F17" s="496">
        <v>2.4500000000000002</v>
      </c>
      <c r="G17" s="509"/>
      <c r="H17" s="509"/>
      <c r="I17" s="510">
        <f>F17*D17</f>
        <v>1.2250000000000001</v>
      </c>
      <c r="J17" s="478"/>
      <c r="K17" s="478"/>
      <c r="L17" s="478"/>
      <c r="M17" s="478"/>
      <c r="N17" s="478"/>
    </row>
    <row r="18" spans="1:14" x14ac:dyDescent="0.3">
      <c r="A18" s="504"/>
      <c r="B18" s="504"/>
      <c r="C18" s="504"/>
      <c r="D18" s="504"/>
      <c r="E18" s="504"/>
      <c r="F18" s="504"/>
      <c r="G18" s="504"/>
      <c r="H18" s="372" t="s">
        <v>547</v>
      </c>
      <c r="I18" s="541">
        <f>SUM(I14:I17)</f>
        <v>58.187406224519613</v>
      </c>
      <c r="J18" s="504"/>
      <c r="K18" s="504"/>
      <c r="L18" s="504"/>
      <c r="M18" s="504"/>
      <c r="N18" s="504"/>
    </row>
  </sheetData>
  <pageMargins left="0.7" right="0.7" top="0.75" bottom="0.75" header="0.3" footer="0.3"/>
  <pageSetup paperSize="9" scale="63" orientation="landscape" r:id="rId1"/>
  <ignoredErrors>
    <ignoredError sqref="I15" formula="1"/>
  </ignoredErrors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0"/>
  <sheetViews>
    <sheetView showGridLines="0" workbookViewId="0"/>
  </sheetViews>
  <sheetFormatPr defaultColWidth="11.5546875" defaultRowHeight="14.4" x14ac:dyDescent="0.3"/>
  <cols>
    <col min="1" max="1" width="12.6640625" customWidth="1"/>
    <col min="2" max="2" width="33.6640625" bestFit="1" customWidth="1"/>
    <col min="3" max="3" width="25.6640625" customWidth="1"/>
    <col min="4" max="4" width="12.88671875" customWidth="1"/>
    <col min="7" max="7" width="13.109375" customWidth="1"/>
    <col min="8" max="8" width="14" customWidth="1"/>
    <col min="9" max="9" width="14.6640625" customWidth="1"/>
    <col min="10" max="10" width="14.33203125" customWidth="1"/>
    <col min="13" max="13" width="19.109375" customWidth="1"/>
    <col min="14" max="14" width="12.554687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N11+I20</f>
        <v>59.565811811695127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2</v>
      </c>
    </row>
    <row r="3" spans="1:14" x14ac:dyDescent="0.3">
      <c r="A3" s="343" t="s">
        <v>534</v>
      </c>
      <c r="B3" s="319" t="s">
        <v>172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1283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119.13162362339025</v>
      </c>
    </row>
    <row r="5" spans="1:14" x14ac:dyDescent="0.3">
      <c r="A5" s="343" t="s">
        <v>537</v>
      </c>
      <c r="B5" s="319" t="s">
        <v>174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 t="s">
        <v>1117</v>
      </c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1308</v>
      </c>
      <c r="C10" s="494" t="s">
        <v>1315</v>
      </c>
      <c r="D10" s="495">
        <v>2.25</v>
      </c>
      <c r="E10" s="496"/>
      <c r="F10" s="497"/>
      <c r="G10" s="496"/>
      <c r="H10" s="498"/>
      <c r="I10" s="466" t="s">
        <v>1316</v>
      </c>
      <c r="J10" s="549">
        <f>PI()*0.0655^2/4</f>
        <v>3.369554470515903E-3</v>
      </c>
      <c r="K10" s="500">
        <v>0.13200000000000001</v>
      </c>
      <c r="L10" s="500">
        <v>8010</v>
      </c>
      <c r="M10" s="550">
        <v>1</v>
      </c>
      <c r="N10" s="501">
        <f>IF(J10="",D10*M10,D10*J10*K10*L10*M10)</f>
        <v>8.0160689987232185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8.0160689987232185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ht="43.2" x14ac:dyDescent="0.3">
      <c r="A14" s="184">
        <v>10</v>
      </c>
      <c r="B14" s="508" t="s">
        <v>589</v>
      </c>
      <c r="C14" s="508" t="s">
        <v>1311</v>
      </c>
      <c r="D14" s="495">
        <v>1.3</v>
      </c>
      <c r="E14" s="497" t="s">
        <v>556</v>
      </c>
      <c r="F14" s="496">
        <v>1</v>
      </c>
      <c r="G14" s="509"/>
      <c r="H14" s="509"/>
      <c r="I14" s="510">
        <f>F14*D14</f>
        <v>1.3</v>
      </c>
      <c r="J14" s="478"/>
      <c r="K14" s="478"/>
      <c r="L14" s="478"/>
      <c r="M14" s="478"/>
      <c r="N14" s="478"/>
    </row>
    <row r="15" spans="1:14" x14ac:dyDescent="0.3">
      <c r="A15" s="184">
        <v>20</v>
      </c>
      <c r="B15" s="508" t="s">
        <v>609</v>
      </c>
      <c r="C15" s="508" t="s">
        <v>1312</v>
      </c>
      <c r="D15" s="495">
        <v>0.04</v>
      </c>
      <c r="E15" s="497" t="s">
        <v>610</v>
      </c>
      <c r="F15" s="532">
        <f>J10*K10*1000000-67.2</f>
        <v>377.58119010809924</v>
      </c>
      <c r="G15" s="509" t="s">
        <v>1281</v>
      </c>
      <c r="H15" s="509">
        <v>3</v>
      </c>
      <c r="I15" s="510">
        <f>F15*D15*H15</f>
        <v>45.309742812971912</v>
      </c>
      <c r="J15" s="478"/>
      <c r="K15" s="478"/>
      <c r="L15" s="478"/>
      <c r="M15" s="478"/>
      <c r="N15" s="478"/>
    </row>
    <row r="16" spans="1:14" ht="28.8" x14ac:dyDescent="0.3">
      <c r="A16" s="184">
        <v>30</v>
      </c>
      <c r="B16" s="508" t="s">
        <v>589</v>
      </c>
      <c r="C16" s="508" t="s">
        <v>1313</v>
      </c>
      <c r="D16" s="495">
        <v>1.3</v>
      </c>
      <c r="E16" s="497" t="s">
        <v>556</v>
      </c>
      <c r="F16" s="496">
        <v>1</v>
      </c>
      <c r="G16" s="509"/>
      <c r="H16" s="509"/>
      <c r="I16" s="510">
        <f>F16*D16</f>
        <v>1.3</v>
      </c>
      <c r="J16" s="478"/>
      <c r="K16" s="478"/>
      <c r="L16" s="478"/>
      <c r="M16" s="478"/>
      <c r="N16" s="478"/>
    </row>
    <row r="17" spans="1:14" x14ac:dyDescent="0.3">
      <c r="A17" s="184">
        <v>40</v>
      </c>
      <c r="B17" s="508" t="s">
        <v>1256</v>
      </c>
      <c r="C17" s="508" t="s">
        <v>1314</v>
      </c>
      <c r="D17" s="495">
        <v>0.5</v>
      </c>
      <c r="E17" s="497" t="s">
        <v>593</v>
      </c>
      <c r="F17" s="496">
        <v>4.2</v>
      </c>
      <c r="G17" s="509"/>
      <c r="H17" s="509"/>
      <c r="I17" s="510">
        <f>F17*D17</f>
        <v>2.1</v>
      </c>
      <c r="J17" s="478"/>
      <c r="K17" s="478"/>
      <c r="L17" s="478"/>
      <c r="M17" s="478"/>
      <c r="N17" s="478"/>
    </row>
    <row r="18" spans="1:14" ht="43.2" x14ac:dyDescent="0.3">
      <c r="A18" s="184">
        <v>50</v>
      </c>
      <c r="B18" s="508" t="s">
        <v>589</v>
      </c>
      <c r="C18" s="508" t="s">
        <v>1317</v>
      </c>
      <c r="D18" s="495">
        <v>1.3</v>
      </c>
      <c r="E18" s="497" t="s">
        <v>556</v>
      </c>
      <c r="F18" s="496">
        <v>1</v>
      </c>
      <c r="G18" s="509"/>
      <c r="H18" s="509"/>
      <c r="I18" s="510">
        <f>F18*D18</f>
        <v>1.3</v>
      </c>
      <c r="J18" s="478"/>
      <c r="K18" s="478"/>
      <c r="L18" s="478"/>
      <c r="M18" s="478"/>
      <c r="N18" s="478"/>
    </row>
    <row r="19" spans="1:14" ht="28.8" x14ac:dyDescent="0.3">
      <c r="A19" s="184">
        <v>60</v>
      </c>
      <c r="B19" s="508" t="s">
        <v>788</v>
      </c>
      <c r="C19" s="508" t="s">
        <v>1318</v>
      </c>
      <c r="D19" s="495">
        <v>0.1</v>
      </c>
      <c r="E19" s="497" t="s">
        <v>593</v>
      </c>
      <c r="F19" s="496">
        <v>2.4</v>
      </c>
      <c r="G19" s="509"/>
      <c r="H19" s="509"/>
      <c r="I19" s="510">
        <f>F19*D19</f>
        <v>0.24</v>
      </c>
      <c r="J19" s="478"/>
      <c r="K19" s="478"/>
      <c r="L19" s="478"/>
      <c r="M19" s="478"/>
      <c r="N19" s="478"/>
    </row>
    <row r="20" spans="1:14" x14ac:dyDescent="0.3">
      <c r="A20" s="504"/>
      <c r="B20" s="504"/>
      <c r="C20" s="504"/>
      <c r="D20" s="504"/>
      <c r="E20" s="504"/>
      <c r="F20" s="504"/>
      <c r="G20" s="504"/>
      <c r="H20" s="372" t="s">
        <v>547</v>
      </c>
      <c r="I20" s="541">
        <f>SUM(I14:I19)</f>
        <v>51.549742812971907</v>
      </c>
      <c r="J20" s="504"/>
      <c r="K20" s="504"/>
      <c r="L20" s="504"/>
      <c r="M20" s="504"/>
      <c r="N20" s="504"/>
    </row>
  </sheetData>
  <pageMargins left="0.7" right="0.7" top="0.75" bottom="0.75" header="0.3" footer="0.3"/>
  <pageSetup paperSize="9" scale="59" orientation="landscape" r:id="rId1"/>
  <ignoredErrors>
    <ignoredError sqref="I15" formula="1"/>
  </ignoredErrors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9"/>
  <sheetViews>
    <sheetView showGridLines="0" workbookViewId="0"/>
  </sheetViews>
  <sheetFormatPr defaultColWidth="11.5546875" defaultRowHeight="14.4" x14ac:dyDescent="0.3"/>
  <cols>
    <col min="2" max="2" width="35.44140625" bestFit="1" customWidth="1"/>
    <col min="3" max="3" width="25.21875" customWidth="1"/>
    <col min="9" max="9" width="15.6640625" customWidth="1"/>
    <col min="13" max="13" width="1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N11+I18</f>
        <v>20.859922268656938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1</v>
      </c>
    </row>
    <row r="3" spans="1:14" x14ac:dyDescent="0.3">
      <c r="A3" s="343" t="s">
        <v>534</v>
      </c>
      <c r="B3" s="319" t="s">
        <v>172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1284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20.859922268656938</v>
      </c>
    </row>
    <row r="5" spans="1:14" x14ac:dyDescent="0.3">
      <c r="A5" s="343" t="s">
        <v>537</v>
      </c>
      <c r="B5" s="319" t="s">
        <v>175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 t="s">
        <v>1117</v>
      </c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1308</v>
      </c>
      <c r="C10" s="494" t="s">
        <v>1319</v>
      </c>
      <c r="D10" s="495">
        <v>2.25</v>
      </c>
      <c r="E10" s="496"/>
      <c r="F10" s="497"/>
      <c r="G10" s="496"/>
      <c r="H10" s="498"/>
      <c r="I10" s="466" t="s">
        <v>1320</v>
      </c>
      <c r="J10" s="549">
        <f>PI()*0.024^2/4</f>
        <v>4.523893421169302E-4</v>
      </c>
      <c r="K10" s="500">
        <v>0.41</v>
      </c>
      <c r="L10" s="500">
        <v>8010</v>
      </c>
      <c r="M10" s="550">
        <v>1</v>
      </c>
      <c r="N10" s="501">
        <f>IF(J10="",D10*M10,D10*J10*K10*L10*M10)</f>
        <v>3.3428066365039735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3.3428066365039735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ht="33" customHeight="1" x14ac:dyDescent="0.3">
      <c r="A14" s="184">
        <v>10</v>
      </c>
      <c r="B14" s="508" t="s">
        <v>589</v>
      </c>
      <c r="C14" s="508" t="s">
        <v>1321</v>
      </c>
      <c r="D14" s="495">
        <v>1.3</v>
      </c>
      <c r="E14" s="497" t="s">
        <v>556</v>
      </c>
      <c r="F14" s="496">
        <v>1</v>
      </c>
      <c r="G14" s="509"/>
      <c r="H14" s="509"/>
      <c r="I14" s="510">
        <f>F14*D14</f>
        <v>1.3</v>
      </c>
      <c r="J14" s="478"/>
      <c r="K14" s="478"/>
      <c r="L14" s="478"/>
      <c r="M14" s="478"/>
      <c r="N14" s="478"/>
    </row>
    <row r="15" spans="1:14" ht="28.8" x14ac:dyDescent="0.3">
      <c r="A15" s="184">
        <v>20</v>
      </c>
      <c r="B15" s="508" t="s">
        <v>609</v>
      </c>
      <c r="C15" s="508" t="s">
        <v>1322</v>
      </c>
      <c r="D15" s="495">
        <v>0.04</v>
      </c>
      <c r="E15" s="497" t="s">
        <v>610</v>
      </c>
      <c r="F15" s="551">
        <f>J10*K10*1000000-105.337</f>
        <v>80.142630267941357</v>
      </c>
      <c r="G15" s="552" t="s">
        <v>1281</v>
      </c>
      <c r="H15" s="509">
        <v>3</v>
      </c>
      <c r="I15" s="510">
        <f>H15*F15*D15</f>
        <v>9.6171156321529629</v>
      </c>
      <c r="J15" s="478"/>
      <c r="K15" s="478"/>
      <c r="L15" s="478"/>
      <c r="M15" s="478"/>
      <c r="N15" s="478"/>
    </row>
    <row r="16" spans="1:14" ht="28.8" x14ac:dyDescent="0.3">
      <c r="A16" s="184">
        <v>30</v>
      </c>
      <c r="B16" s="508" t="s">
        <v>589</v>
      </c>
      <c r="C16" s="508" t="s">
        <v>1323</v>
      </c>
      <c r="D16" s="495">
        <v>1.3</v>
      </c>
      <c r="E16" s="497" t="s">
        <v>556</v>
      </c>
      <c r="F16" s="496">
        <v>1</v>
      </c>
      <c r="G16" s="509"/>
      <c r="H16" s="509"/>
      <c r="I16" s="510">
        <f>F16*D16</f>
        <v>1.3</v>
      </c>
      <c r="J16" s="478"/>
      <c r="K16" s="478"/>
      <c r="L16" s="478"/>
      <c r="M16" s="478"/>
      <c r="N16" s="478"/>
    </row>
    <row r="17" spans="1:14" x14ac:dyDescent="0.3">
      <c r="A17" s="184">
        <v>40</v>
      </c>
      <c r="B17" s="508" t="s">
        <v>1256</v>
      </c>
      <c r="C17" s="508" t="s">
        <v>1324</v>
      </c>
      <c r="D17" s="495">
        <v>0.5</v>
      </c>
      <c r="E17" s="497" t="s">
        <v>593</v>
      </c>
      <c r="F17" s="496">
        <v>10.6</v>
      </c>
      <c r="G17" s="509"/>
      <c r="H17" s="509"/>
      <c r="I17" s="510">
        <f>D17*F17</f>
        <v>5.3</v>
      </c>
      <c r="J17" s="478"/>
      <c r="K17" s="478"/>
      <c r="L17" s="478"/>
      <c r="M17" s="478"/>
      <c r="N17" s="478"/>
    </row>
    <row r="18" spans="1:14" x14ac:dyDescent="0.3">
      <c r="A18" s="504"/>
      <c r="B18" s="504"/>
      <c r="C18" s="504"/>
      <c r="D18" s="504"/>
      <c r="E18" s="504"/>
      <c r="F18" s="504"/>
      <c r="G18" s="504"/>
      <c r="H18" s="372" t="s">
        <v>547</v>
      </c>
      <c r="I18" s="541">
        <f>SUM(I14:I17)</f>
        <v>17.517115632152965</v>
      </c>
      <c r="J18" s="504"/>
      <c r="K18" s="504"/>
      <c r="L18" s="504"/>
      <c r="M18" s="504"/>
      <c r="N18" s="504"/>
    </row>
    <row r="19" spans="1:14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</sheetData>
  <pageMargins left="0.7" right="0.7" top="0.75" bottom="0.75" header="0.3" footer="0.3"/>
  <pageSetup paperSize="9" scale="63" orientation="landscape" r:id="rId1"/>
  <ignoredErrors>
    <ignoredError sqref="I15" formula="1"/>
  </ignoredErrors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9"/>
  <sheetViews>
    <sheetView showGridLines="0" workbookViewId="0"/>
  </sheetViews>
  <sheetFormatPr defaultColWidth="11.5546875" defaultRowHeight="14.4" x14ac:dyDescent="0.3"/>
  <cols>
    <col min="1" max="1" width="11.5546875" customWidth="1"/>
    <col min="2" max="2" width="35.44140625" bestFit="1" customWidth="1"/>
    <col min="3" max="3" width="25.109375" customWidth="1"/>
    <col min="4" max="4" width="12.44140625" customWidth="1"/>
    <col min="7" max="7" width="12.109375" customWidth="1"/>
    <col min="8" max="8" width="12.44140625" customWidth="1"/>
    <col min="9" max="9" width="15.109375" customWidth="1"/>
    <col min="10" max="10" width="12.88671875" customWidth="1"/>
    <col min="13" max="13" width="19" customWidth="1"/>
    <col min="14" max="14" width="13.10937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N11+I18</f>
        <v>20.70288272879527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1</v>
      </c>
    </row>
    <row r="3" spans="1:14" x14ac:dyDescent="0.3">
      <c r="A3" s="343" t="s">
        <v>534</v>
      </c>
      <c r="B3" s="319" t="s">
        <v>172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1285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20.70288272879527</v>
      </c>
    </row>
    <row r="5" spans="1:14" x14ac:dyDescent="0.3">
      <c r="A5" s="343" t="s">
        <v>537</v>
      </c>
      <c r="B5" s="319" t="s">
        <v>176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 t="s">
        <v>1117</v>
      </c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1308</v>
      </c>
      <c r="C10" s="494" t="s">
        <v>1319</v>
      </c>
      <c r="D10" s="495">
        <v>2.25</v>
      </c>
      <c r="E10" s="496"/>
      <c r="F10" s="497"/>
      <c r="G10" s="496"/>
      <c r="H10" s="498"/>
      <c r="I10" s="466" t="s">
        <v>1320</v>
      </c>
      <c r="J10" s="549">
        <f>PI()*0.024^2/4</f>
        <v>4.523893421169302E-4</v>
      </c>
      <c r="K10" s="500">
        <v>0.40500000000000003</v>
      </c>
      <c r="L10" s="500">
        <v>8010</v>
      </c>
      <c r="M10" s="550">
        <v>1</v>
      </c>
      <c r="N10" s="501">
        <f>IF(J10="",D10*M10,D10*J10*K10*L10*M10)</f>
        <v>3.3020407019124618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3.3020407019124618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ht="34.799999999999997" customHeight="1" x14ac:dyDescent="0.3">
      <c r="A14" s="184">
        <v>10</v>
      </c>
      <c r="B14" s="508" t="s">
        <v>589</v>
      </c>
      <c r="C14" s="508" t="s">
        <v>1321</v>
      </c>
      <c r="D14" s="495">
        <v>1.3</v>
      </c>
      <c r="E14" s="497" t="s">
        <v>556</v>
      </c>
      <c r="F14" s="496">
        <v>1</v>
      </c>
      <c r="G14" s="509"/>
      <c r="H14" s="509"/>
      <c r="I14" s="510">
        <f>F14*D14</f>
        <v>1.3</v>
      </c>
      <c r="J14" s="478"/>
      <c r="K14" s="478"/>
      <c r="L14" s="478"/>
      <c r="M14" s="478"/>
      <c r="N14" s="478"/>
    </row>
    <row r="15" spans="1:14" s="196" customFormat="1" ht="28.8" x14ac:dyDescent="0.3">
      <c r="A15" s="184">
        <v>20</v>
      </c>
      <c r="B15" s="508" t="s">
        <v>609</v>
      </c>
      <c r="C15" s="508" t="s">
        <v>1322</v>
      </c>
      <c r="D15" s="495">
        <v>0.04</v>
      </c>
      <c r="E15" s="509" t="s">
        <v>610</v>
      </c>
      <c r="F15" s="558">
        <f>J10*K10*1000000-104.044</f>
        <v>79.173683557356739</v>
      </c>
      <c r="G15" s="552" t="s">
        <v>1281</v>
      </c>
      <c r="H15" s="509">
        <v>3</v>
      </c>
      <c r="I15" s="510">
        <f>H15*F15*D15</f>
        <v>9.5008420268828075</v>
      </c>
      <c r="J15" s="478"/>
      <c r="K15" s="478"/>
      <c r="L15" s="478"/>
      <c r="M15" s="478"/>
      <c r="N15" s="478"/>
    </row>
    <row r="16" spans="1:14" ht="28.8" x14ac:dyDescent="0.3">
      <c r="A16" s="184">
        <v>30</v>
      </c>
      <c r="B16" s="508" t="s">
        <v>589</v>
      </c>
      <c r="C16" s="508" t="s">
        <v>1323</v>
      </c>
      <c r="D16" s="495">
        <v>1.3</v>
      </c>
      <c r="E16" s="497" t="s">
        <v>556</v>
      </c>
      <c r="F16" s="496">
        <v>1</v>
      </c>
      <c r="G16" s="509"/>
      <c r="H16" s="509"/>
      <c r="I16" s="510">
        <f>F16*D16</f>
        <v>1.3</v>
      </c>
      <c r="J16" s="478"/>
      <c r="K16" s="478"/>
      <c r="L16" s="478"/>
      <c r="M16" s="478"/>
      <c r="N16" s="478"/>
    </row>
    <row r="17" spans="1:14" x14ac:dyDescent="0.3">
      <c r="A17" s="184">
        <v>40</v>
      </c>
      <c r="B17" s="508" t="s">
        <v>1256</v>
      </c>
      <c r="C17" s="508" t="s">
        <v>1324</v>
      </c>
      <c r="D17" s="495">
        <v>0.5</v>
      </c>
      <c r="E17" s="497" t="s">
        <v>593</v>
      </c>
      <c r="F17" s="496">
        <v>10.6</v>
      </c>
      <c r="G17" s="509"/>
      <c r="H17" s="509"/>
      <c r="I17" s="510">
        <f>D17*F17</f>
        <v>5.3</v>
      </c>
      <c r="J17" s="478"/>
      <c r="K17" s="478"/>
      <c r="L17" s="478"/>
      <c r="M17" s="478"/>
      <c r="N17" s="478"/>
    </row>
    <row r="18" spans="1:14" x14ac:dyDescent="0.3">
      <c r="A18" s="504"/>
      <c r="B18" s="504"/>
      <c r="C18" s="504"/>
      <c r="D18" s="504"/>
      <c r="E18" s="504"/>
      <c r="F18" s="504"/>
      <c r="G18" s="504"/>
      <c r="H18" s="372" t="s">
        <v>547</v>
      </c>
      <c r="I18" s="541">
        <f>SUM(I14:I17)</f>
        <v>17.40084202688281</v>
      </c>
      <c r="J18" s="504"/>
      <c r="K18" s="504"/>
      <c r="L18" s="504"/>
      <c r="M18" s="504"/>
      <c r="N18" s="504"/>
    </row>
    <row r="19" spans="1:14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</sheetData>
  <pageMargins left="0.7" right="0.7" top="0.75" bottom="0.75" header="0.3" footer="0.3"/>
  <pageSetup paperSize="9" scale="60" orientation="landscape" r:id="rId1"/>
  <ignoredErrors>
    <ignoredError sqref="I15" formula="1"/>
  </ignoredErrors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N43"/>
  <sheetViews>
    <sheetView showGridLines="0" workbookViewId="0"/>
  </sheetViews>
  <sheetFormatPr defaultColWidth="11.5546875" defaultRowHeight="14.4" x14ac:dyDescent="0.3"/>
  <cols>
    <col min="1" max="1" width="15.44140625" customWidth="1"/>
    <col min="2" max="2" width="26.6640625" bestFit="1" customWidth="1"/>
    <col min="3" max="3" width="23.33203125" customWidth="1"/>
    <col min="4" max="4" width="13.88671875" customWidth="1"/>
    <col min="5" max="5" width="14.109375" customWidth="1"/>
    <col min="7" max="7" width="13.109375" customWidth="1"/>
    <col min="8" max="8" width="23.33203125" customWidth="1"/>
    <col min="9" max="9" width="14.33203125" customWidth="1"/>
    <col min="10" max="10" width="13.109375" customWidth="1"/>
    <col min="13" max="13" width="21.5546875" customWidth="1"/>
    <col min="14" max="14" width="15.33203125" customWidth="1"/>
  </cols>
  <sheetData>
    <row r="1" spans="1:14" x14ac:dyDescent="0.3">
      <c r="A1" s="476" t="s">
        <v>523</v>
      </c>
      <c r="B1" s="477" t="s">
        <v>524</v>
      </c>
      <c r="C1" s="478"/>
      <c r="D1" s="478"/>
      <c r="E1" s="478"/>
      <c r="F1" s="478"/>
      <c r="G1" s="478"/>
      <c r="H1" s="478"/>
      <c r="I1" s="478"/>
      <c r="J1" s="476" t="s">
        <v>528</v>
      </c>
      <c r="K1" s="479">
        <v>81</v>
      </c>
      <c r="L1" s="478"/>
      <c r="M1" s="480" t="s">
        <v>531</v>
      </c>
      <c r="N1" s="481">
        <f>E12+N17+I32+J38+I42</f>
        <v>19.92743406088217</v>
      </c>
    </row>
    <row r="2" spans="1:14" x14ac:dyDescent="0.3">
      <c r="A2" s="476" t="s">
        <v>532</v>
      </c>
      <c r="B2" s="477" t="s">
        <v>1108</v>
      </c>
      <c r="C2" s="478"/>
      <c r="D2" s="478"/>
      <c r="E2" s="478"/>
      <c r="F2" s="478"/>
      <c r="G2" s="478"/>
      <c r="H2" s="478"/>
      <c r="I2" s="478"/>
      <c r="J2" s="477"/>
      <c r="K2" s="478"/>
      <c r="L2" s="478"/>
      <c r="M2" s="476" t="s">
        <v>533</v>
      </c>
      <c r="N2" s="482">
        <v>2</v>
      </c>
    </row>
    <row r="3" spans="1:14" x14ac:dyDescent="0.3">
      <c r="A3" s="476" t="s">
        <v>534</v>
      </c>
      <c r="B3" s="477" t="s">
        <v>1325</v>
      </c>
      <c r="C3" s="478"/>
      <c r="D3" s="478"/>
      <c r="E3" s="478"/>
      <c r="F3" s="478"/>
      <c r="G3" s="478"/>
      <c r="H3" s="478"/>
      <c r="I3" s="478"/>
      <c r="J3" s="476" t="s">
        <v>536</v>
      </c>
      <c r="K3" s="478"/>
      <c r="L3" s="478"/>
      <c r="M3" s="477"/>
      <c r="N3" s="478"/>
    </row>
    <row r="4" spans="1:14" x14ac:dyDescent="0.3">
      <c r="A4" s="476" t="s">
        <v>537</v>
      </c>
      <c r="B4" s="477" t="s">
        <v>177</v>
      </c>
      <c r="C4" s="478"/>
      <c r="D4" s="478"/>
      <c r="E4" s="478"/>
      <c r="F4" s="478"/>
      <c r="G4" s="478"/>
      <c r="H4" s="478"/>
      <c r="I4" s="478"/>
      <c r="J4" s="476" t="s">
        <v>538</v>
      </c>
      <c r="K4" s="478"/>
      <c r="L4" s="478"/>
      <c r="M4" s="480" t="s">
        <v>539</v>
      </c>
      <c r="N4" s="481">
        <f>N1*N2</f>
        <v>39.854868121764341</v>
      </c>
    </row>
    <row r="5" spans="1:14" x14ac:dyDescent="0.3">
      <c r="A5" s="476" t="s">
        <v>540</v>
      </c>
      <c r="B5" s="477" t="s">
        <v>36</v>
      </c>
      <c r="C5" s="478"/>
      <c r="D5" s="478"/>
      <c r="E5" s="478"/>
      <c r="F5" s="478"/>
      <c r="G5" s="478"/>
      <c r="H5" s="478"/>
      <c r="I5" s="478"/>
      <c r="J5" s="476" t="s">
        <v>541</v>
      </c>
      <c r="K5" s="478"/>
      <c r="L5" s="478"/>
      <c r="M5" s="478"/>
      <c r="N5" s="478"/>
    </row>
    <row r="6" spans="1:14" x14ac:dyDescent="0.3">
      <c r="A6" s="476" t="s">
        <v>542</v>
      </c>
      <c r="B6" s="166" t="s">
        <v>1411</v>
      </c>
      <c r="C6" s="478"/>
      <c r="D6" s="478"/>
      <c r="E6" s="478"/>
      <c r="F6" s="478"/>
      <c r="G6" s="478"/>
      <c r="H6" s="478"/>
      <c r="I6" s="478"/>
      <c r="J6" s="478"/>
      <c r="K6" s="478"/>
      <c r="L6" s="478"/>
      <c r="M6" s="478"/>
      <c r="N6" s="478"/>
    </row>
    <row r="7" spans="1:14" x14ac:dyDescent="0.3">
      <c r="A7" s="478"/>
      <c r="B7" s="478"/>
      <c r="C7" s="478"/>
      <c r="D7" s="478"/>
      <c r="E7" s="478"/>
      <c r="F7" s="478"/>
      <c r="G7" s="478"/>
      <c r="H7" s="478"/>
      <c r="I7" s="478"/>
      <c r="J7" s="478"/>
      <c r="K7" s="478"/>
      <c r="L7" s="478"/>
      <c r="M7" s="478"/>
      <c r="N7" s="478"/>
    </row>
    <row r="8" spans="1:14" x14ac:dyDescent="0.3">
      <c r="A8" s="483" t="s">
        <v>544</v>
      </c>
      <c r="B8" s="483" t="s">
        <v>545</v>
      </c>
      <c r="C8" s="483" t="s">
        <v>546</v>
      </c>
      <c r="D8" s="483" t="s">
        <v>28</v>
      </c>
      <c r="E8" s="483" t="s">
        <v>547</v>
      </c>
      <c r="F8" s="477"/>
      <c r="G8" s="477"/>
      <c r="H8" s="477"/>
      <c r="I8" s="477"/>
      <c r="J8" s="477"/>
      <c r="K8" s="477"/>
      <c r="L8" s="477"/>
      <c r="M8" s="477"/>
      <c r="N8" s="477"/>
    </row>
    <row r="9" spans="1:14" x14ac:dyDescent="0.3">
      <c r="A9" s="485">
        <v>10</v>
      </c>
      <c r="B9" s="486" t="s">
        <v>1326</v>
      </c>
      <c r="C9" s="487">
        <f>'EN 11001'!N1</f>
        <v>0.92447507499999992</v>
      </c>
      <c r="D9" s="488">
        <v>2</v>
      </c>
      <c r="E9" s="489">
        <f>C9*D9</f>
        <v>1.8489501499999998</v>
      </c>
      <c r="F9" s="478"/>
      <c r="G9" s="478"/>
      <c r="H9" s="478"/>
      <c r="I9" s="478"/>
      <c r="J9" s="478"/>
      <c r="K9" s="478"/>
      <c r="L9" s="478"/>
      <c r="M9" s="478"/>
      <c r="N9" s="478"/>
    </row>
    <row r="10" spans="1:14" x14ac:dyDescent="0.3">
      <c r="A10" s="485">
        <v>20</v>
      </c>
      <c r="B10" s="486" t="s">
        <v>1327</v>
      </c>
      <c r="C10" s="487">
        <f>'EN 11002'!N1</f>
        <v>2.4357939860159226</v>
      </c>
      <c r="D10" s="488">
        <v>1</v>
      </c>
      <c r="E10" s="489">
        <f>C10*D10</f>
        <v>2.4357939860159226</v>
      </c>
      <c r="F10" s="478"/>
      <c r="G10" s="478"/>
      <c r="H10" s="478"/>
      <c r="I10" s="478"/>
      <c r="J10" s="478"/>
      <c r="K10" s="478"/>
      <c r="L10" s="478"/>
      <c r="M10" s="478"/>
      <c r="N10" s="478"/>
    </row>
    <row r="11" spans="1:14" x14ac:dyDescent="0.3">
      <c r="A11" s="485">
        <v>30</v>
      </c>
      <c r="B11" s="179" t="s">
        <v>1328</v>
      </c>
      <c r="C11" s="487">
        <f>'EN 11003'!N1</f>
        <v>0.23635456454989542</v>
      </c>
      <c r="D11" s="488">
        <v>4</v>
      </c>
      <c r="E11" s="489">
        <f>C11*D11</f>
        <v>0.9454182581995817</v>
      </c>
      <c r="F11" s="478"/>
      <c r="G11" s="478"/>
      <c r="H11" s="478"/>
      <c r="I11" s="478"/>
      <c r="J11" s="478"/>
      <c r="K11" s="478"/>
      <c r="L11" s="478"/>
      <c r="M11" s="478"/>
      <c r="N11" s="478"/>
    </row>
    <row r="12" spans="1:14" x14ac:dyDescent="0.3">
      <c r="A12" s="478"/>
      <c r="B12" s="478"/>
      <c r="C12" s="478"/>
      <c r="D12" s="553" t="s">
        <v>547</v>
      </c>
      <c r="E12" s="492">
        <f>SUM(E9:E11)</f>
        <v>5.2301623942155038</v>
      </c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478"/>
      <c r="B13" s="478"/>
      <c r="C13" s="478"/>
      <c r="D13" s="478"/>
      <c r="E13" s="478"/>
      <c r="F13" s="478"/>
      <c r="G13" s="478"/>
      <c r="H13" s="478"/>
      <c r="I13" s="478"/>
      <c r="J13" s="478"/>
      <c r="K13" s="478"/>
      <c r="L13" s="478"/>
      <c r="M13" s="478"/>
      <c r="N13" s="478"/>
    </row>
    <row r="14" spans="1:14" x14ac:dyDescent="0.3">
      <c r="A14" s="483" t="s">
        <v>544</v>
      </c>
      <c r="B14" s="483" t="s">
        <v>581</v>
      </c>
      <c r="C14" s="483" t="s">
        <v>549</v>
      </c>
      <c r="D14" s="483" t="s">
        <v>550</v>
      </c>
      <c r="E14" s="483" t="s">
        <v>567</v>
      </c>
      <c r="F14" s="483" t="s">
        <v>568</v>
      </c>
      <c r="G14" s="483" t="s">
        <v>569</v>
      </c>
      <c r="H14" s="483" t="s">
        <v>570</v>
      </c>
      <c r="I14" s="483" t="s">
        <v>582</v>
      </c>
      <c r="J14" s="483" t="s">
        <v>583</v>
      </c>
      <c r="K14" s="483" t="s">
        <v>584</v>
      </c>
      <c r="L14" s="483" t="s">
        <v>585</v>
      </c>
      <c r="M14" s="483" t="s">
        <v>28</v>
      </c>
      <c r="N14" s="483" t="s">
        <v>547</v>
      </c>
    </row>
    <row r="15" spans="1:14" x14ac:dyDescent="0.3">
      <c r="A15" s="184">
        <v>10</v>
      </c>
      <c r="B15" s="381" t="s">
        <v>1329</v>
      </c>
      <c r="C15" s="494" t="s">
        <v>1330</v>
      </c>
      <c r="D15" s="495">
        <v>2.5</v>
      </c>
      <c r="E15" s="496">
        <v>8</v>
      </c>
      <c r="F15" s="497" t="s">
        <v>573</v>
      </c>
      <c r="G15" s="496"/>
      <c r="H15" s="498"/>
      <c r="I15" s="466"/>
      <c r="J15" s="499"/>
      <c r="K15" s="500"/>
      <c r="L15" s="500"/>
      <c r="M15" s="550">
        <v>1</v>
      </c>
      <c r="N15" s="501">
        <f>IF(J15="",D15*M15,D15*J15*K15*L15*M15)</f>
        <v>2.5</v>
      </c>
    </row>
    <row r="16" spans="1:14" x14ac:dyDescent="0.3">
      <c r="A16" s="184">
        <v>20</v>
      </c>
      <c r="B16" s="494" t="s">
        <v>1329</v>
      </c>
      <c r="C16" s="494" t="s">
        <v>1331</v>
      </c>
      <c r="D16" s="495">
        <v>2.5</v>
      </c>
      <c r="E16" s="496">
        <v>8</v>
      </c>
      <c r="F16" s="497" t="s">
        <v>573</v>
      </c>
      <c r="G16" s="496"/>
      <c r="H16" s="498"/>
      <c r="I16" s="502"/>
      <c r="J16" s="499"/>
      <c r="K16" s="500"/>
      <c r="L16" s="503"/>
      <c r="M16" s="550">
        <v>1</v>
      </c>
      <c r="N16" s="501">
        <f>IF(J16="",D16*M16,D16*J16*K16*L16*M16)</f>
        <v>2.5</v>
      </c>
    </row>
    <row r="17" spans="1:14" x14ac:dyDescent="0.3">
      <c r="A17" s="504"/>
      <c r="B17" s="504"/>
      <c r="C17" s="504"/>
      <c r="D17" s="504"/>
      <c r="E17" s="504"/>
      <c r="F17" s="504"/>
      <c r="G17" s="504"/>
      <c r="H17" s="504"/>
      <c r="I17" s="504"/>
      <c r="J17" s="504"/>
      <c r="K17" s="504"/>
      <c r="L17" s="504"/>
      <c r="M17" s="505" t="s">
        <v>547</v>
      </c>
      <c r="N17" s="492">
        <f>SUM(N15:N16)</f>
        <v>5</v>
      </c>
    </row>
    <row r="18" spans="1:14" x14ac:dyDescent="0.3">
      <c r="A18" s="478"/>
      <c r="B18" s="478"/>
      <c r="C18" s="478"/>
      <c r="D18" s="478"/>
      <c r="E18" s="478"/>
      <c r="F18" s="478"/>
      <c r="G18" s="478"/>
      <c r="H18" s="478"/>
      <c r="I18" s="478"/>
      <c r="J18" s="478"/>
      <c r="K18" s="478"/>
      <c r="L18" s="478"/>
      <c r="M18" s="478"/>
      <c r="N18" s="478"/>
    </row>
    <row r="19" spans="1:14" x14ac:dyDescent="0.3">
      <c r="A19" s="483" t="s">
        <v>544</v>
      </c>
      <c r="B19" s="483" t="s">
        <v>548</v>
      </c>
      <c r="C19" s="483" t="s">
        <v>549</v>
      </c>
      <c r="D19" s="483" t="s">
        <v>550</v>
      </c>
      <c r="E19" s="483" t="s">
        <v>551</v>
      </c>
      <c r="F19" s="483" t="s">
        <v>28</v>
      </c>
      <c r="G19" s="483" t="s">
        <v>552</v>
      </c>
      <c r="H19" s="483" t="s">
        <v>553</v>
      </c>
      <c r="I19" s="483" t="s">
        <v>547</v>
      </c>
      <c r="J19" s="504"/>
      <c r="K19" s="504"/>
      <c r="L19" s="504"/>
      <c r="M19" s="504"/>
      <c r="N19" s="504"/>
    </row>
    <row r="20" spans="1:14" x14ac:dyDescent="0.3">
      <c r="A20" s="184">
        <v>10</v>
      </c>
      <c r="B20" s="508" t="s">
        <v>650</v>
      </c>
      <c r="C20" s="508" t="s">
        <v>1228</v>
      </c>
      <c r="D20" s="495">
        <v>0.15</v>
      </c>
      <c r="E20" s="497" t="s">
        <v>593</v>
      </c>
      <c r="F20" s="496">
        <v>15.8</v>
      </c>
      <c r="G20" s="509"/>
      <c r="H20" s="509"/>
      <c r="I20" s="510">
        <f t="shared" ref="I20:I31" si="0">D20*F20</f>
        <v>2.37</v>
      </c>
      <c r="J20" s="478"/>
      <c r="K20" s="478"/>
      <c r="L20" s="478"/>
      <c r="M20" s="478"/>
      <c r="N20" s="478"/>
    </row>
    <row r="21" spans="1:14" x14ac:dyDescent="0.3">
      <c r="A21" s="184">
        <v>20</v>
      </c>
      <c r="B21" s="508" t="s">
        <v>762</v>
      </c>
      <c r="C21" s="508" t="s">
        <v>1229</v>
      </c>
      <c r="D21" s="495">
        <v>5.25</v>
      </c>
      <c r="E21" s="497" t="s">
        <v>627</v>
      </c>
      <c r="F21" s="513">
        <f>2*0.00101</f>
        <v>2.0200000000000001E-3</v>
      </c>
      <c r="G21" s="509"/>
      <c r="H21" s="509"/>
      <c r="I21" s="510">
        <f>D21*F21</f>
        <v>1.0605E-2</v>
      </c>
      <c r="J21" s="478"/>
      <c r="K21" s="478"/>
      <c r="L21" s="478"/>
      <c r="M21" s="478"/>
      <c r="N21" s="478"/>
    </row>
    <row r="22" spans="1:14" x14ac:dyDescent="0.3">
      <c r="A22" s="184">
        <v>30</v>
      </c>
      <c r="B22" s="508" t="s">
        <v>749</v>
      </c>
      <c r="C22" s="508" t="s">
        <v>1332</v>
      </c>
      <c r="D22" s="495">
        <v>0.13</v>
      </c>
      <c r="E22" s="497" t="s">
        <v>556</v>
      </c>
      <c r="F22" s="496">
        <v>2</v>
      </c>
      <c r="G22" s="509"/>
      <c r="H22" s="509"/>
      <c r="I22" s="510">
        <f t="shared" si="0"/>
        <v>0.26</v>
      </c>
      <c r="J22" s="478"/>
      <c r="K22" s="478"/>
      <c r="L22" s="478"/>
      <c r="M22" s="478"/>
      <c r="N22" s="478"/>
    </row>
    <row r="23" spans="1:14" ht="28.8" x14ac:dyDescent="0.3">
      <c r="A23" s="184">
        <v>40</v>
      </c>
      <c r="B23" s="508" t="s">
        <v>749</v>
      </c>
      <c r="C23" s="508" t="s">
        <v>1333</v>
      </c>
      <c r="D23" s="495">
        <v>0.13</v>
      </c>
      <c r="E23" s="497" t="s">
        <v>556</v>
      </c>
      <c r="F23" s="496">
        <v>2</v>
      </c>
      <c r="G23" s="509"/>
      <c r="H23" s="509"/>
      <c r="I23" s="510">
        <f t="shared" si="0"/>
        <v>0.26</v>
      </c>
      <c r="J23" s="478"/>
      <c r="K23" s="478"/>
      <c r="L23" s="478"/>
      <c r="M23" s="478"/>
      <c r="N23" s="478"/>
    </row>
    <row r="24" spans="1:14" x14ac:dyDescent="0.3">
      <c r="A24" s="184">
        <v>50</v>
      </c>
      <c r="B24" s="508" t="s">
        <v>674</v>
      </c>
      <c r="C24" s="508" t="s">
        <v>1334</v>
      </c>
      <c r="D24" s="495">
        <v>1.5</v>
      </c>
      <c r="E24" s="497" t="s">
        <v>556</v>
      </c>
      <c r="F24" s="496">
        <v>2</v>
      </c>
      <c r="G24" s="509"/>
      <c r="H24" s="509"/>
      <c r="I24" s="510">
        <f t="shared" si="0"/>
        <v>3</v>
      </c>
      <c r="J24" s="478"/>
      <c r="K24" s="478"/>
      <c r="L24" s="478"/>
      <c r="M24" s="478"/>
      <c r="N24" s="478"/>
    </row>
    <row r="25" spans="1:14" x14ac:dyDescent="0.3">
      <c r="A25" s="184">
        <v>60</v>
      </c>
      <c r="B25" s="508" t="s">
        <v>616</v>
      </c>
      <c r="C25" s="508" t="s">
        <v>1335</v>
      </c>
      <c r="D25" s="495">
        <v>0.25</v>
      </c>
      <c r="E25" s="497" t="s">
        <v>556</v>
      </c>
      <c r="F25" s="496">
        <v>2</v>
      </c>
      <c r="G25" s="509"/>
      <c r="H25" s="509"/>
      <c r="I25" s="510">
        <f t="shared" si="0"/>
        <v>0.5</v>
      </c>
      <c r="J25" s="478"/>
      <c r="K25" s="478"/>
      <c r="L25" s="478"/>
      <c r="M25" s="478"/>
      <c r="N25" s="478"/>
    </row>
    <row r="26" spans="1:14" ht="28.8" x14ac:dyDescent="0.3">
      <c r="A26" s="184">
        <v>70</v>
      </c>
      <c r="B26" s="508" t="s">
        <v>557</v>
      </c>
      <c r="C26" s="508" t="s">
        <v>1336</v>
      </c>
      <c r="D26" s="495">
        <v>0.06</v>
      </c>
      <c r="E26" s="497" t="s">
        <v>556</v>
      </c>
      <c r="F26" s="496">
        <v>3</v>
      </c>
      <c r="G26" s="509"/>
      <c r="H26" s="509"/>
      <c r="I26" s="510">
        <f t="shared" si="0"/>
        <v>0.18</v>
      </c>
      <c r="J26" s="478"/>
      <c r="K26" s="478"/>
      <c r="L26" s="478"/>
      <c r="M26" s="478"/>
      <c r="N26" s="478"/>
    </row>
    <row r="27" spans="1:14" x14ac:dyDescent="0.3">
      <c r="A27" s="184">
        <v>80</v>
      </c>
      <c r="B27" s="508" t="s">
        <v>559</v>
      </c>
      <c r="C27" s="508" t="s">
        <v>1337</v>
      </c>
      <c r="D27" s="495">
        <v>0.75</v>
      </c>
      <c r="E27" s="497" t="s">
        <v>556</v>
      </c>
      <c r="F27" s="496">
        <v>1</v>
      </c>
      <c r="G27" s="509"/>
      <c r="H27" s="509"/>
      <c r="I27" s="510">
        <f t="shared" si="0"/>
        <v>0.75</v>
      </c>
      <c r="J27" s="478"/>
      <c r="K27" s="478"/>
      <c r="L27" s="478"/>
      <c r="M27" s="478"/>
      <c r="N27" s="478"/>
    </row>
    <row r="28" spans="1:14" x14ac:dyDescent="0.3">
      <c r="A28" s="184">
        <v>90</v>
      </c>
      <c r="B28" s="508" t="s">
        <v>616</v>
      </c>
      <c r="C28" s="508" t="s">
        <v>1338</v>
      </c>
      <c r="D28" s="495">
        <v>0.25</v>
      </c>
      <c r="E28" s="497" t="s">
        <v>556</v>
      </c>
      <c r="F28" s="496">
        <v>1</v>
      </c>
      <c r="G28" s="509"/>
      <c r="H28" s="509"/>
      <c r="I28" s="510">
        <f t="shared" si="0"/>
        <v>0.25</v>
      </c>
      <c r="J28" s="478"/>
      <c r="K28" s="478"/>
      <c r="L28" s="478"/>
      <c r="M28" s="478"/>
      <c r="N28" s="478"/>
    </row>
    <row r="29" spans="1:14" ht="28.8" x14ac:dyDescent="0.3">
      <c r="A29" s="184">
        <v>100</v>
      </c>
      <c r="B29" s="508" t="s">
        <v>557</v>
      </c>
      <c r="C29" s="508" t="s">
        <v>1339</v>
      </c>
      <c r="D29" s="495">
        <v>0.06</v>
      </c>
      <c r="E29" s="497" t="s">
        <v>556</v>
      </c>
      <c r="F29" s="496">
        <v>3</v>
      </c>
      <c r="G29" s="509"/>
      <c r="H29" s="509"/>
      <c r="I29" s="510">
        <f t="shared" si="0"/>
        <v>0.18</v>
      </c>
      <c r="J29" s="478"/>
      <c r="K29" s="478"/>
      <c r="L29" s="478"/>
      <c r="M29" s="478"/>
      <c r="N29" s="478"/>
    </row>
    <row r="30" spans="1:14" x14ac:dyDescent="0.3">
      <c r="A30" s="184">
        <v>110</v>
      </c>
      <c r="B30" s="508" t="s">
        <v>559</v>
      </c>
      <c r="C30" s="508" t="s">
        <v>1337</v>
      </c>
      <c r="D30" s="495">
        <v>0.75</v>
      </c>
      <c r="E30" s="497" t="s">
        <v>556</v>
      </c>
      <c r="F30" s="496">
        <v>1</v>
      </c>
      <c r="G30" s="509"/>
      <c r="H30" s="509"/>
      <c r="I30" s="510">
        <f t="shared" si="0"/>
        <v>0.75</v>
      </c>
      <c r="J30" s="478"/>
      <c r="K30" s="478"/>
      <c r="L30" s="478"/>
      <c r="M30" s="478"/>
      <c r="N30" s="478"/>
    </row>
    <row r="31" spans="1:14" x14ac:dyDescent="0.3">
      <c r="A31" s="184">
        <v>120</v>
      </c>
      <c r="B31" s="508" t="s">
        <v>616</v>
      </c>
      <c r="C31" s="508" t="s">
        <v>1338</v>
      </c>
      <c r="D31" s="495">
        <v>0.25</v>
      </c>
      <c r="E31" s="497" t="s">
        <v>556</v>
      </c>
      <c r="F31" s="496">
        <v>1</v>
      </c>
      <c r="G31" s="509"/>
      <c r="H31" s="509"/>
      <c r="I31" s="510">
        <f t="shared" si="0"/>
        <v>0.25</v>
      </c>
      <c r="J31" s="478"/>
      <c r="K31" s="478"/>
      <c r="L31" s="478"/>
      <c r="M31" s="478"/>
      <c r="N31" s="478"/>
    </row>
    <row r="32" spans="1:14" x14ac:dyDescent="0.3">
      <c r="A32" s="504"/>
      <c r="B32" s="504"/>
      <c r="C32" s="504"/>
      <c r="D32" s="504"/>
      <c r="E32" s="504"/>
      <c r="F32" s="504"/>
      <c r="G32" s="504"/>
      <c r="H32" s="505" t="s">
        <v>547</v>
      </c>
      <c r="I32" s="492">
        <f>SUM(I20:I30)</f>
        <v>8.5106049999999982</v>
      </c>
      <c r="J32" s="522"/>
      <c r="K32" s="504"/>
      <c r="L32" s="504"/>
      <c r="M32" s="504"/>
      <c r="N32" s="504"/>
    </row>
    <row r="33" spans="1:14" x14ac:dyDescent="0.3">
      <c r="A33" s="478"/>
      <c r="B33" s="256"/>
      <c r="C33" s="478"/>
      <c r="D33" s="478"/>
      <c r="E33" s="478"/>
      <c r="F33" s="478"/>
      <c r="G33" s="478"/>
      <c r="H33" s="478"/>
      <c r="I33" s="478"/>
      <c r="J33" s="478"/>
      <c r="K33" s="478"/>
      <c r="L33" s="478"/>
      <c r="M33" s="478"/>
      <c r="N33" s="478"/>
    </row>
    <row r="34" spans="1:14" x14ac:dyDescent="0.3">
      <c r="A34" s="483" t="s">
        <v>544</v>
      </c>
      <c r="B34" s="483" t="s">
        <v>566</v>
      </c>
      <c r="C34" s="483" t="s">
        <v>549</v>
      </c>
      <c r="D34" s="483" t="s">
        <v>550</v>
      </c>
      <c r="E34" s="483" t="s">
        <v>567</v>
      </c>
      <c r="F34" s="483" t="s">
        <v>568</v>
      </c>
      <c r="G34" s="483" t="s">
        <v>569</v>
      </c>
      <c r="H34" s="483" t="s">
        <v>570</v>
      </c>
      <c r="I34" s="483" t="s">
        <v>28</v>
      </c>
      <c r="J34" s="483" t="s">
        <v>547</v>
      </c>
      <c r="K34" s="504"/>
      <c r="L34" s="504"/>
      <c r="M34" s="504"/>
      <c r="N34" s="504"/>
    </row>
    <row r="35" spans="1:14" ht="43.2" x14ac:dyDescent="0.3">
      <c r="A35" s="184">
        <v>10</v>
      </c>
      <c r="B35" s="381" t="s">
        <v>684</v>
      </c>
      <c r="C35" s="486" t="s">
        <v>1340</v>
      </c>
      <c r="D35" s="523">
        <v>0.16</v>
      </c>
      <c r="E35" s="496">
        <v>8</v>
      </c>
      <c r="F35" s="524" t="s">
        <v>573</v>
      </c>
      <c r="G35" s="496">
        <v>40</v>
      </c>
      <c r="H35" s="525" t="s">
        <v>573</v>
      </c>
      <c r="I35" s="526">
        <v>2</v>
      </c>
      <c r="J35" s="495">
        <f>D35*I35</f>
        <v>0.32</v>
      </c>
      <c r="K35" s="478"/>
      <c r="L35" s="478"/>
      <c r="M35" s="478"/>
      <c r="N35" s="478"/>
    </row>
    <row r="36" spans="1:14" ht="43.2" x14ac:dyDescent="0.3">
      <c r="A36" s="184">
        <v>20</v>
      </c>
      <c r="B36" s="381" t="s">
        <v>618</v>
      </c>
      <c r="C36" s="486" t="s">
        <v>1340</v>
      </c>
      <c r="D36" s="523">
        <v>0.04</v>
      </c>
      <c r="E36" s="496">
        <v>8</v>
      </c>
      <c r="F36" s="524" t="s">
        <v>573</v>
      </c>
      <c r="G36" s="496"/>
      <c r="H36" s="525"/>
      <c r="I36" s="526">
        <v>4</v>
      </c>
      <c r="J36" s="495">
        <f>D36*I36</f>
        <v>0.16</v>
      </c>
      <c r="K36" s="478"/>
      <c r="L36" s="478"/>
      <c r="M36" s="478"/>
      <c r="N36" s="478"/>
    </row>
    <row r="37" spans="1:14" ht="43.2" x14ac:dyDescent="0.3">
      <c r="A37" s="184">
        <v>30</v>
      </c>
      <c r="B37" s="381" t="s">
        <v>574</v>
      </c>
      <c r="C37" s="486" t="s">
        <v>1340</v>
      </c>
      <c r="D37" s="523">
        <v>0.01</v>
      </c>
      <c r="E37" s="496"/>
      <c r="F37" s="524" t="s">
        <v>556</v>
      </c>
      <c r="G37" s="496"/>
      <c r="H37" s="525"/>
      <c r="I37" s="526">
        <v>4</v>
      </c>
      <c r="J37" s="495">
        <f>D37*I37</f>
        <v>0.04</v>
      </c>
      <c r="K37" s="478"/>
      <c r="L37" s="478"/>
      <c r="M37" s="478"/>
      <c r="N37" s="478"/>
    </row>
    <row r="38" spans="1:14" x14ac:dyDescent="0.3">
      <c r="A38" s="504"/>
      <c r="B38" s="504"/>
      <c r="C38" s="504"/>
      <c r="D38" s="504"/>
      <c r="E38" s="504"/>
      <c r="F38" s="504"/>
      <c r="G38" s="504"/>
      <c r="H38" s="504"/>
      <c r="I38" s="505" t="s">
        <v>547</v>
      </c>
      <c r="J38" s="492">
        <f>SUM(J35:J37)</f>
        <v>0.52</v>
      </c>
      <c r="K38" s="504"/>
      <c r="L38" s="504"/>
      <c r="M38" s="504"/>
      <c r="N38" s="504"/>
    </row>
    <row r="39" spans="1:14" x14ac:dyDescent="0.3">
      <c r="A39" s="478"/>
      <c r="B39" s="478"/>
      <c r="C39" s="478"/>
      <c r="D39" s="478"/>
      <c r="E39" s="478"/>
      <c r="F39" s="478"/>
      <c r="G39" s="478"/>
      <c r="H39" s="478"/>
      <c r="I39" s="490"/>
      <c r="J39" s="478"/>
      <c r="K39" s="478"/>
      <c r="L39" s="478"/>
      <c r="M39" s="478"/>
      <c r="N39" s="478"/>
    </row>
    <row r="40" spans="1:14" x14ac:dyDescent="0.3">
      <c r="A40" s="483" t="s">
        <v>544</v>
      </c>
      <c r="B40" s="483" t="s">
        <v>6</v>
      </c>
      <c r="C40" s="483" t="s">
        <v>549</v>
      </c>
      <c r="D40" s="483" t="s">
        <v>550</v>
      </c>
      <c r="E40" s="483" t="s">
        <v>551</v>
      </c>
      <c r="F40" s="483" t="s">
        <v>28</v>
      </c>
      <c r="G40" s="483" t="s">
        <v>691</v>
      </c>
      <c r="H40" s="483" t="s">
        <v>1341</v>
      </c>
      <c r="I40" s="483" t="s">
        <v>547</v>
      </c>
      <c r="J40" s="504"/>
      <c r="K40" s="504"/>
      <c r="L40" s="504"/>
      <c r="M40" s="504"/>
      <c r="N40" s="504"/>
    </row>
    <row r="41" spans="1:14" x14ac:dyDescent="0.3">
      <c r="A41" s="272">
        <v>10</v>
      </c>
      <c r="B41" s="486" t="s">
        <v>693</v>
      </c>
      <c r="C41" s="486" t="s">
        <v>1239</v>
      </c>
      <c r="D41" s="516">
        <v>500</v>
      </c>
      <c r="E41" s="517" t="s">
        <v>695</v>
      </c>
      <c r="F41" s="518">
        <v>4</v>
      </c>
      <c r="G41" s="518">
        <v>3000</v>
      </c>
      <c r="H41" s="518">
        <v>1</v>
      </c>
      <c r="I41" s="489">
        <f>D41*F41/G41*H41</f>
        <v>0.66666666666666663</v>
      </c>
      <c r="J41" s="478"/>
      <c r="K41" s="478"/>
      <c r="L41" s="478"/>
      <c r="M41" s="478"/>
      <c r="N41" s="478"/>
    </row>
    <row r="42" spans="1:14" x14ac:dyDescent="0.3">
      <c r="A42" s="504"/>
      <c r="B42" s="504"/>
      <c r="C42" s="504"/>
      <c r="D42" s="504"/>
      <c r="E42" s="504"/>
      <c r="F42" s="504"/>
      <c r="G42" s="504"/>
      <c r="H42" s="505" t="s">
        <v>547</v>
      </c>
      <c r="I42" s="521">
        <f>SUM(I41:I41)</f>
        <v>0.66666666666666663</v>
      </c>
      <c r="J42" s="504"/>
      <c r="K42" s="504"/>
      <c r="L42" s="504"/>
      <c r="M42" s="504"/>
      <c r="N42" s="504"/>
    </row>
    <row r="43" spans="1:14" x14ac:dyDescent="0.3">
      <c r="A43" s="522"/>
      <c r="B43" s="522"/>
      <c r="C43" s="522"/>
      <c r="D43" s="522"/>
      <c r="E43" s="522"/>
      <c r="F43" s="522"/>
      <c r="G43" s="522"/>
      <c r="H43" s="522"/>
      <c r="I43" s="522"/>
      <c r="J43" s="522"/>
      <c r="K43" s="522"/>
      <c r="L43" s="522"/>
      <c r="M43" s="522"/>
      <c r="N43" s="522"/>
    </row>
  </sheetData>
  <pageMargins left="0.7" right="0.7" top="0.75" bottom="0.75" header="0.3" footer="0.3"/>
  <pageSetup paperSize="9" scale="54" orientation="landscape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-0.249977111117893"/>
    <pageSetUpPr fitToPage="1"/>
  </sheetPr>
  <dimension ref="A1:O34"/>
  <sheetViews>
    <sheetView showGridLines="0" zoomScaleNormal="100" workbookViewId="0"/>
  </sheetViews>
  <sheetFormatPr defaultColWidth="11.44140625" defaultRowHeight="14.4" x14ac:dyDescent="0.3"/>
  <cols>
    <col min="2" max="2" width="28" customWidth="1"/>
    <col min="3" max="3" width="25.33203125" customWidth="1"/>
    <col min="5" max="5" width="15.33203125" customWidth="1"/>
    <col min="13" max="13" width="14.6640625" customWidth="1"/>
  </cols>
  <sheetData>
    <row r="1" spans="1:15" x14ac:dyDescent="0.3">
      <c r="A1" s="160" t="s">
        <v>523</v>
      </c>
      <c r="B1" s="161" t="s">
        <v>530</v>
      </c>
      <c r="J1" s="162" t="s">
        <v>528</v>
      </c>
      <c r="K1" s="163">
        <v>81</v>
      </c>
      <c r="M1" s="162" t="s">
        <v>531</v>
      </c>
      <c r="N1" s="164">
        <f>E14+I26+J34</f>
        <v>102.526148379825</v>
      </c>
    </row>
    <row r="2" spans="1:15" x14ac:dyDescent="0.3">
      <c r="A2" s="160" t="s">
        <v>532</v>
      </c>
      <c r="B2" s="161" t="s">
        <v>8</v>
      </c>
      <c r="M2" s="162" t="s">
        <v>533</v>
      </c>
      <c r="N2" s="165">
        <v>2</v>
      </c>
    </row>
    <row r="3" spans="1:15" x14ac:dyDescent="0.3">
      <c r="A3" s="160" t="s">
        <v>534</v>
      </c>
      <c r="B3" t="s">
        <v>612</v>
      </c>
      <c r="J3" s="162" t="s">
        <v>536</v>
      </c>
    </row>
    <row r="4" spans="1:15" x14ac:dyDescent="0.3">
      <c r="A4" s="160" t="s">
        <v>537</v>
      </c>
      <c r="B4" s="166" t="s">
        <v>46</v>
      </c>
      <c r="J4" s="162" t="s">
        <v>538</v>
      </c>
      <c r="M4" s="162" t="s">
        <v>539</v>
      </c>
      <c r="N4" s="164">
        <f>N1*N2</f>
        <v>205.05229675965001</v>
      </c>
    </row>
    <row r="5" spans="1:15" x14ac:dyDescent="0.3">
      <c r="A5" s="160" t="s">
        <v>540</v>
      </c>
      <c r="B5" s="161" t="s">
        <v>36</v>
      </c>
      <c r="J5" s="162" t="s">
        <v>541</v>
      </c>
    </row>
    <row r="6" spans="1:15" x14ac:dyDescent="0.3">
      <c r="A6" s="160" t="s">
        <v>542</v>
      </c>
      <c r="B6" s="161" t="s">
        <v>613</v>
      </c>
    </row>
    <row r="8" spans="1:15" x14ac:dyDescent="0.3">
      <c r="A8" s="167" t="s">
        <v>544</v>
      </c>
      <c r="B8" s="167" t="s">
        <v>545</v>
      </c>
      <c r="C8" s="167" t="s">
        <v>546</v>
      </c>
      <c r="D8" s="167" t="s">
        <v>28</v>
      </c>
      <c r="E8" s="167" t="s">
        <v>547</v>
      </c>
    </row>
    <row r="9" spans="1:15" x14ac:dyDescent="0.3">
      <c r="A9" s="168">
        <v>10</v>
      </c>
      <c r="B9" s="169" t="s">
        <v>38</v>
      </c>
      <c r="C9" s="170">
        <f>'BR 02001'!N1</f>
        <v>5.3782154600000007</v>
      </c>
      <c r="D9" s="171">
        <v>1</v>
      </c>
      <c r="E9" s="170">
        <f>C9</f>
        <v>5.3782154600000007</v>
      </c>
    </row>
    <row r="10" spans="1:15" x14ac:dyDescent="0.3">
      <c r="A10" s="168">
        <v>20</v>
      </c>
      <c r="B10" s="169" t="s">
        <v>40</v>
      </c>
      <c r="C10" s="170">
        <f>'BR 02002'!N1</f>
        <v>6.9797859406250007</v>
      </c>
      <c r="D10" s="171">
        <v>1</v>
      </c>
      <c r="E10" s="170">
        <f>D10*C10</f>
        <v>6.9797859406250007</v>
      </c>
      <c r="M10" s="172"/>
    </row>
    <row r="11" spans="1:15" x14ac:dyDescent="0.3">
      <c r="A11" s="168">
        <v>30</v>
      </c>
      <c r="B11" s="169" t="s">
        <v>42</v>
      </c>
      <c r="C11" s="170">
        <f>'BR 02003'!N1</f>
        <v>83</v>
      </c>
      <c r="D11" s="171">
        <v>1</v>
      </c>
      <c r="E11" s="170">
        <v>83</v>
      </c>
      <c r="H11" s="173"/>
      <c r="I11" s="174"/>
      <c r="J11" s="174"/>
      <c r="K11" s="175"/>
      <c r="L11" s="174"/>
      <c r="M11" s="174"/>
      <c r="N11" s="174"/>
      <c r="O11" s="174"/>
    </row>
    <row r="12" spans="1:15" x14ac:dyDescent="0.3">
      <c r="A12" s="168">
        <v>40</v>
      </c>
      <c r="B12" s="169" t="s">
        <v>44</v>
      </c>
      <c r="C12" s="170">
        <f>'BR 02004'!N1</f>
        <v>0.96000000000000019</v>
      </c>
      <c r="D12" s="171">
        <v>2</v>
      </c>
      <c r="E12" s="170">
        <f>C12*D12</f>
        <v>1.9200000000000004</v>
      </c>
    </row>
    <row r="13" spans="1:15" x14ac:dyDescent="0.3">
      <c r="A13" s="168">
        <v>50</v>
      </c>
      <c r="B13" s="168" t="s">
        <v>53</v>
      </c>
      <c r="C13" s="170">
        <f>'BR 02005'!N1</f>
        <v>0.15302449653333333</v>
      </c>
      <c r="D13" s="171">
        <v>6</v>
      </c>
      <c r="E13" s="170">
        <f>C13*D13</f>
        <v>0.91814697919999999</v>
      </c>
    </row>
    <row r="14" spans="1:15" x14ac:dyDescent="0.3">
      <c r="D14" s="176" t="s">
        <v>547</v>
      </c>
      <c r="E14" s="177">
        <f>SUM(E9:E13)</f>
        <v>98.196148379825004</v>
      </c>
    </row>
    <row r="17" spans="1:14" x14ac:dyDescent="0.3">
      <c r="A17" s="167" t="s">
        <v>544</v>
      </c>
      <c r="B17" s="167" t="s">
        <v>548</v>
      </c>
      <c r="C17" s="167" t="s">
        <v>549</v>
      </c>
      <c r="D17" s="167" t="s">
        <v>550</v>
      </c>
      <c r="E17" s="167" t="s">
        <v>551</v>
      </c>
      <c r="F17" s="167" t="s">
        <v>28</v>
      </c>
      <c r="G17" s="167" t="s">
        <v>552</v>
      </c>
      <c r="H17" s="167" t="s">
        <v>553</v>
      </c>
      <c r="I17" s="167" t="s">
        <v>547</v>
      </c>
      <c r="J17" s="178"/>
      <c r="K17" s="178"/>
      <c r="L17" s="178"/>
      <c r="M17" s="178"/>
      <c r="N17" s="178"/>
    </row>
    <row r="18" spans="1:14" x14ac:dyDescent="0.3">
      <c r="A18" s="168">
        <v>10</v>
      </c>
      <c r="B18" s="168" t="s">
        <v>554</v>
      </c>
      <c r="C18" s="184" t="s">
        <v>555</v>
      </c>
      <c r="D18" s="170">
        <v>0.13</v>
      </c>
      <c r="E18" s="168" t="s">
        <v>556</v>
      </c>
      <c r="F18" s="179">
        <v>1</v>
      </c>
      <c r="G18" s="179"/>
      <c r="H18" s="179"/>
      <c r="I18" s="214">
        <f>F18*D18</f>
        <v>0.13</v>
      </c>
    </row>
    <row r="19" spans="1:14" x14ac:dyDescent="0.3">
      <c r="A19" s="168">
        <v>20</v>
      </c>
      <c r="B19" s="180" t="s">
        <v>557</v>
      </c>
      <c r="C19" s="193" t="s">
        <v>614</v>
      </c>
      <c r="D19" s="181">
        <v>0.06</v>
      </c>
      <c r="E19" s="180" t="s">
        <v>556</v>
      </c>
      <c r="F19" s="168">
        <v>1</v>
      </c>
      <c r="G19" s="168"/>
      <c r="H19" s="168"/>
      <c r="I19" s="242">
        <f>D19*F19</f>
        <v>0.06</v>
      </c>
    </row>
    <row r="20" spans="1:14" x14ac:dyDescent="0.3">
      <c r="A20" s="168">
        <v>30</v>
      </c>
      <c r="B20" s="180" t="s">
        <v>559</v>
      </c>
      <c r="C20" s="184" t="s">
        <v>615</v>
      </c>
      <c r="D20" s="182">
        <v>0.75</v>
      </c>
      <c r="E20" s="168" t="s">
        <v>556</v>
      </c>
      <c r="F20" s="168">
        <v>2</v>
      </c>
      <c r="G20" s="168"/>
      <c r="H20" s="168"/>
      <c r="I20" s="242">
        <f>D20*F20</f>
        <v>1.5</v>
      </c>
    </row>
    <row r="21" spans="1:14" x14ac:dyDescent="0.3">
      <c r="A21" s="168">
        <v>40</v>
      </c>
      <c r="B21" s="180" t="s">
        <v>616</v>
      </c>
      <c r="C21" s="184" t="s">
        <v>617</v>
      </c>
      <c r="D21" s="243">
        <v>0.25</v>
      </c>
      <c r="E21" s="180" t="s">
        <v>556</v>
      </c>
      <c r="F21" s="171">
        <v>2</v>
      </c>
      <c r="G21" s="180"/>
      <c r="H21" s="171"/>
      <c r="I21" s="214">
        <f>F21*D21</f>
        <v>0.5</v>
      </c>
    </row>
    <row r="22" spans="1:14" ht="28.8" x14ac:dyDescent="0.3">
      <c r="A22" s="168">
        <v>50</v>
      </c>
      <c r="B22" s="183" t="s">
        <v>554</v>
      </c>
      <c r="C22" s="184" t="s">
        <v>561</v>
      </c>
      <c r="D22" s="185">
        <v>0.13</v>
      </c>
      <c r="E22" s="183" t="s">
        <v>551</v>
      </c>
      <c r="F22" s="183">
        <v>1</v>
      </c>
      <c r="G22" s="183"/>
      <c r="H22" s="183"/>
      <c r="I22" s="185">
        <f>F22*D22</f>
        <v>0.13</v>
      </c>
    </row>
    <row r="23" spans="1:14" x14ac:dyDescent="0.3">
      <c r="A23" s="168">
        <v>60</v>
      </c>
      <c r="B23" s="183" t="s">
        <v>562</v>
      </c>
      <c r="C23" s="184" t="s">
        <v>563</v>
      </c>
      <c r="D23" s="185">
        <v>0.06</v>
      </c>
      <c r="E23" s="183" t="s">
        <v>551</v>
      </c>
      <c r="F23" s="183">
        <v>6</v>
      </c>
      <c r="G23" s="183"/>
      <c r="H23" s="183"/>
      <c r="I23" s="185">
        <f>F23*D23</f>
        <v>0.36</v>
      </c>
    </row>
    <row r="24" spans="1:14" x14ac:dyDescent="0.3">
      <c r="A24" s="168">
        <v>70</v>
      </c>
      <c r="B24" s="183" t="s">
        <v>554</v>
      </c>
      <c r="C24" s="184" t="s">
        <v>564</v>
      </c>
      <c r="D24" s="185">
        <v>0.13</v>
      </c>
      <c r="E24" s="183" t="s">
        <v>551</v>
      </c>
      <c r="F24" s="183">
        <v>6</v>
      </c>
      <c r="G24" s="183"/>
      <c r="H24" s="183"/>
      <c r="I24" s="185">
        <f>F24*D24</f>
        <v>0.78</v>
      </c>
    </row>
    <row r="25" spans="1:14" ht="28.8" x14ac:dyDescent="0.3">
      <c r="A25" s="168">
        <v>80</v>
      </c>
      <c r="B25" s="183" t="s">
        <v>554</v>
      </c>
      <c r="C25" s="184" t="s">
        <v>565</v>
      </c>
      <c r="D25" s="185">
        <v>0.13</v>
      </c>
      <c r="E25" s="168" t="s">
        <v>551</v>
      </c>
      <c r="F25" s="168">
        <v>1</v>
      </c>
      <c r="G25" s="168"/>
      <c r="H25" s="168"/>
      <c r="I25" s="170">
        <f>F25*D25</f>
        <v>0.13</v>
      </c>
    </row>
    <row r="26" spans="1:14" x14ac:dyDescent="0.3">
      <c r="A26" s="178"/>
      <c r="B26" s="178"/>
      <c r="C26" s="178"/>
      <c r="D26" s="178"/>
      <c r="E26" s="178"/>
      <c r="F26" s="178"/>
      <c r="G26" s="178"/>
      <c r="H26" s="176" t="s">
        <v>547</v>
      </c>
      <c r="I26" s="177">
        <f>SUM(I18:I25)</f>
        <v>3.59</v>
      </c>
    </row>
    <row r="28" spans="1:14" x14ac:dyDescent="0.3">
      <c r="A28" s="167" t="s">
        <v>544</v>
      </c>
      <c r="B28" s="167" t="s">
        <v>566</v>
      </c>
      <c r="C28" s="167" t="s">
        <v>549</v>
      </c>
      <c r="D28" s="167" t="s">
        <v>550</v>
      </c>
      <c r="E28" s="167" t="s">
        <v>567</v>
      </c>
      <c r="F28" s="167" t="s">
        <v>568</v>
      </c>
      <c r="G28" s="167" t="s">
        <v>569</v>
      </c>
      <c r="H28" s="167" t="s">
        <v>570</v>
      </c>
      <c r="I28" s="167" t="s">
        <v>28</v>
      </c>
      <c r="J28" s="167" t="s">
        <v>547</v>
      </c>
    </row>
    <row r="29" spans="1:14" x14ac:dyDescent="0.3">
      <c r="A29" s="168">
        <v>10</v>
      </c>
      <c r="B29" s="168" t="s">
        <v>571</v>
      </c>
      <c r="C29" s="168" t="s">
        <v>572</v>
      </c>
      <c r="D29" s="186">
        <v>0.14000000000000001</v>
      </c>
      <c r="E29" s="187">
        <v>8</v>
      </c>
      <c r="F29" s="187" t="s">
        <v>573</v>
      </c>
      <c r="G29" s="187">
        <v>35</v>
      </c>
      <c r="H29" s="187" t="s">
        <v>573</v>
      </c>
      <c r="I29" s="169">
        <v>2</v>
      </c>
      <c r="J29" s="170">
        <f>I29*D29</f>
        <v>0.28000000000000003</v>
      </c>
    </row>
    <row r="30" spans="1:14" x14ac:dyDescent="0.3">
      <c r="A30" s="168">
        <v>20</v>
      </c>
      <c r="B30" s="168" t="s">
        <v>574</v>
      </c>
      <c r="C30" s="168" t="s">
        <v>572</v>
      </c>
      <c r="D30" s="186">
        <v>0.01</v>
      </c>
      <c r="E30" s="168">
        <v>8</v>
      </c>
      <c r="F30" s="189" t="s">
        <v>573</v>
      </c>
      <c r="G30" s="168"/>
      <c r="H30" s="171"/>
      <c r="I30" s="169">
        <v>2</v>
      </c>
      <c r="J30" s="170">
        <f>I30*D30</f>
        <v>0.02</v>
      </c>
    </row>
    <row r="31" spans="1:14" x14ac:dyDescent="0.3">
      <c r="A31" s="168">
        <v>30</v>
      </c>
      <c r="B31" s="244" t="s">
        <v>618</v>
      </c>
      <c r="C31" s="168" t="s">
        <v>572</v>
      </c>
      <c r="D31" s="186">
        <v>0.04</v>
      </c>
      <c r="E31" s="168">
        <v>8</v>
      </c>
      <c r="F31" s="245" t="s">
        <v>573</v>
      </c>
      <c r="G31" s="168"/>
      <c r="H31" s="171"/>
      <c r="I31" s="169">
        <v>2</v>
      </c>
      <c r="J31" s="170">
        <f>I31*D31</f>
        <v>0.08</v>
      </c>
    </row>
    <row r="32" spans="1:14" ht="28.8" x14ac:dyDescent="0.3">
      <c r="A32" s="168">
        <v>40</v>
      </c>
      <c r="B32" s="168" t="s">
        <v>574</v>
      </c>
      <c r="C32" s="184" t="s">
        <v>561</v>
      </c>
      <c r="D32" s="186">
        <v>0.01</v>
      </c>
      <c r="E32" s="168">
        <v>12</v>
      </c>
      <c r="F32" s="189" t="s">
        <v>573</v>
      </c>
      <c r="G32" s="168"/>
      <c r="H32" s="171"/>
      <c r="I32" s="188">
        <v>12</v>
      </c>
      <c r="J32" s="170">
        <f>I32*D32</f>
        <v>0.12</v>
      </c>
    </row>
    <row r="33" spans="1:10" s="196" customFormat="1" ht="28.8" x14ac:dyDescent="0.3">
      <c r="A33" s="168">
        <v>50</v>
      </c>
      <c r="B33" s="190" t="s">
        <v>575</v>
      </c>
      <c r="C33" s="184" t="s">
        <v>561</v>
      </c>
      <c r="D33" s="191">
        <v>0.04</v>
      </c>
      <c r="E33" s="184">
        <v>12</v>
      </c>
      <c r="F33" s="192" t="s">
        <v>573</v>
      </c>
      <c r="G33" s="184"/>
      <c r="H33" s="193"/>
      <c r="I33" s="194">
        <v>6</v>
      </c>
      <c r="J33" s="195">
        <f>D33*I33</f>
        <v>0.24</v>
      </c>
    </row>
    <row r="34" spans="1:10" x14ac:dyDescent="0.3">
      <c r="A34" s="178"/>
      <c r="B34" s="178"/>
      <c r="C34" s="178"/>
      <c r="D34" s="178"/>
      <c r="E34" s="178"/>
      <c r="F34" s="178"/>
      <c r="G34" s="178"/>
      <c r="H34" s="178"/>
      <c r="I34" s="176" t="s">
        <v>547</v>
      </c>
      <c r="J34" s="177">
        <f>SUM(J29:J33)</f>
        <v>0.74</v>
      </c>
    </row>
  </sheetData>
  <pageMargins left="0.7" right="0.7" top="0.75" bottom="0.75" header="0.3" footer="0.3"/>
  <pageSetup paperSize="9" scale="66" fitToHeight="0" orientation="landscape"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11.5546875" defaultRowHeight="14.4" x14ac:dyDescent="0.3"/>
  <cols>
    <col min="1" max="1" width="14.88671875" customWidth="1"/>
    <col min="2" max="2" width="33.6640625" bestFit="1" customWidth="1"/>
    <col min="3" max="3" width="20.5546875" customWidth="1"/>
    <col min="4" max="4" width="13.109375" customWidth="1"/>
    <col min="7" max="7" width="19.88671875" customWidth="1"/>
    <col min="8" max="8" width="14.33203125" customWidth="1"/>
    <col min="9" max="9" width="15.44140625" customWidth="1"/>
    <col min="10" max="10" width="14.109375" customWidth="1"/>
    <col min="13" max="13" width="18.33203125" customWidth="1"/>
    <col min="14" max="14" width="14.10937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N11+I16</f>
        <v>0.92447507499999992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4</v>
      </c>
    </row>
    <row r="3" spans="1:14" x14ac:dyDescent="0.3">
      <c r="A3" s="343" t="s">
        <v>534</v>
      </c>
      <c r="B3" s="319" t="s">
        <v>1325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1326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3.6979002999999997</v>
      </c>
    </row>
    <row r="5" spans="1:14" x14ac:dyDescent="0.3">
      <c r="A5" s="343" t="s">
        <v>537</v>
      </c>
      <c r="B5" s="319" t="s">
        <v>178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/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606</v>
      </c>
      <c r="C10" s="494" t="s">
        <v>1278</v>
      </c>
      <c r="D10" s="495">
        <v>2.25</v>
      </c>
      <c r="E10" s="496">
        <v>4.2999999999999997E-2</v>
      </c>
      <c r="F10" s="497" t="s">
        <v>644</v>
      </c>
      <c r="G10" s="496">
        <v>3.3000000000000002E-2</v>
      </c>
      <c r="H10" s="498" t="s">
        <v>644</v>
      </c>
      <c r="I10" s="466" t="s">
        <v>1279</v>
      </c>
      <c r="J10" s="549">
        <f>E10*G10</f>
        <v>1.4189999999999999E-3</v>
      </c>
      <c r="K10" s="500">
        <v>5.0000000000000001E-3</v>
      </c>
      <c r="L10" s="500">
        <v>7860</v>
      </c>
      <c r="M10" s="496">
        <v>1</v>
      </c>
      <c r="N10" s="501">
        <f>IF(J10="",D10*M10,D10*J10*K10*L10*M10)</f>
        <v>0.12547507500000002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0.12547507500000002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s="196" customFormat="1" ht="28.8" x14ac:dyDescent="0.3">
      <c r="A14" s="184">
        <v>10</v>
      </c>
      <c r="B14" s="508" t="s">
        <v>589</v>
      </c>
      <c r="C14" s="508" t="s">
        <v>1258</v>
      </c>
      <c r="D14" s="495">
        <v>1.3</v>
      </c>
      <c r="E14" s="494" t="s">
        <v>556</v>
      </c>
      <c r="F14" s="509">
        <v>1</v>
      </c>
      <c r="G14" s="509" t="s">
        <v>1410</v>
      </c>
      <c r="H14" s="509">
        <v>0.25</v>
      </c>
      <c r="I14" s="510">
        <f>D14*H14</f>
        <v>0.32500000000000001</v>
      </c>
      <c r="J14" s="478"/>
      <c r="K14" s="478"/>
      <c r="L14" s="478"/>
      <c r="M14" s="478"/>
      <c r="N14" s="478"/>
    </row>
    <row r="15" spans="1:14" x14ac:dyDescent="0.3">
      <c r="A15" s="184">
        <v>20</v>
      </c>
      <c r="B15" s="508" t="s">
        <v>591</v>
      </c>
      <c r="C15" s="508" t="s">
        <v>1280</v>
      </c>
      <c r="D15" s="495">
        <v>0.01</v>
      </c>
      <c r="E15" s="497" t="s">
        <v>593</v>
      </c>
      <c r="F15" s="565">
        <v>15.8</v>
      </c>
      <c r="G15" s="509" t="s">
        <v>1281</v>
      </c>
      <c r="H15" s="509">
        <v>3</v>
      </c>
      <c r="I15" s="510">
        <f>F15*D15*H15</f>
        <v>0.47399999999999998</v>
      </c>
      <c r="J15" s="478"/>
      <c r="K15" s="478"/>
      <c r="L15" s="478"/>
      <c r="M15" s="478"/>
      <c r="N15" s="478"/>
    </row>
    <row r="16" spans="1:14" x14ac:dyDescent="0.3">
      <c r="A16" s="504"/>
      <c r="B16" s="504"/>
      <c r="C16" s="504"/>
      <c r="D16" s="504"/>
      <c r="E16" s="504"/>
      <c r="F16" s="504"/>
      <c r="G16" s="504"/>
      <c r="H16" s="372" t="s">
        <v>547</v>
      </c>
      <c r="I16" s="541">
        <f>SUM(I14:I15)</f>
        <v>0.79899999999999993</v>
      </c>
      <c r="J16" s="504"/>
      <c r="K16" s="504"/>
      <c r="L16" s="504"/>
      <c r="M16" s="504"/>
      <c r="N16" s="504"/>
    </row>
    <row r="17" spans="1:14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  <c r="L17" s="161"/>
      <c r="M17" s="161"/>
      <c r="N17" s="161"/>
    </row>
  </sheetData>
  <pageMargins left="0.7" right="0.7" top="0.75" bottom="0.75" header="0.3" footer="0.3"/>
  <pageSetup paperSize="9" scale="59" orientation="landscape"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8"/>
  <sheetViews>
    <sheetView showGridLines="0" workbookViewId="0"/>
  </sheetViews>
  <sheetFormatPr defaultColWidth="11.5546875" defaultRowHeight="14.4" x14ac:dyDescent="0.3"/>
  <cols>
    <col min="2" max="2" width="31.33203125" bestFit="1" customWidth="1"/>
    <col min="3" max="3" width="16.44140625" customWidth="1"/>
    <col min="4" max="4" width="13.5546875" customWidth="1"/>
    <col min="6" max="6" width="12.5546875" customWidth="1"/>
    <col min="7" max="7" width="13.109375" customWidth="1"/>
    <col min="8" max="8" width="15.44140625" customWidth="1"/>
    <col min="9" max="9" width="16.109375" customWidth="1"/>
    <col min="10" max="10" width="16.6640625" customWidth="1"/>
    <col min="13" max="13" width="18.10937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N11+I17</f>
        <v>2.4357939860159226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2</v>
      </c>
    </row>
    <row r="3" spans="1:14" x14ac:dyDescent="0.3">
      <c r="A3" s="343" t="s">
        <v>534</v>
      </c>
      <c r="B3" s="319" t="s">
        <v>1325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1327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4.8715879720318451</v>
      </c>
    </row>
    <row r="5" spans="1:14" x14ac:dyDescent="0.3">
      <c r="A5" s="343" t="s">
        <v>537</v>
      </c>
      <c r="B5" s="319" t="s">
        <v>179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/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606</v>
      </c>
      <c r="C10" s="494" t="s">
        <v>1342</v>
      </c>
      <c r="D10" s="495">
        <v>2.25</v>
      </c>
      <c r="E10" s="496">
        <v>1.7000000000000001E-2</v>
      </c>
      <c r="F10" s="497" t="s">
        <v>644</v>
      </c>
      <c r="G10" s="496"/>
      <c r="H10" s="498"/>
      <c r="I10" s="466" t="s">
        <v>1343</v>
      </c>
      <c r="J10" s="549">
        <f>E10*E10*PI()/4</f>
        <v>2.2698006922186259E-4</v>
      </c>
      <c r="K10" s="500">
        <v>4.2000000000000003E-2</v>
      </c>
      <c r="L10" s="500">
        <v>7860</v>
      </c>
      <c r="M10" s="550">
        <v>1</v>
      </c>
      <c r="N10" s="501">
        <f>IF(J10="",D10*M10,D10*J10*K10*L10*M10)</f>
        <v>0.1685939860159229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0.1685939860159229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x14ac:dyDescent="0.3">
      <c r="A14" s="184">
        <v>10</v>
      </c>
      <c r="B14" s="508" t="s">
        <v>589</v>
      </c>
      <c r="C14" s="508"/>
      <c r="D14" s="495">
        <v>1.3</v>
      </c>
      <c r="E14" s="497" t="s">
        <v>556</v>
      </c>
      <c r="F14" s="496">
        <v>1</v>
      </c>
      <c r="G14" s="509"/>
      <c r="H14" s="509"/>
      <c r="I14" s="510">
        <f>F14*D14</f>
        <v>1.3</v>
      </c>
      <c r="J14" s="478"/>
      <c r="K14" s="478"/>
      <c r="L14" s="478"/>
      <c r="M14" s="478"/>
      <c r="N14" s="478"/>
    </row>
    <row r="15" spans="1:14" ht="28.8" x14ac:dyDescent="0.3">
      <c r="A15" s="184">
        <v>20</v>
      </c>
      <c r="B15" s="508" t="s">
        <v>609</v>
      </c>
      <c r="C15" s="508" t="s">
        <v>1344</v>
      </c>
      <c r="D15" s="495">
        <v>0.04</v>
      </c>
      <c r="E15" s="497" t="s">
        <v>610</v>
      </c>
      <c r="F15" s="496">
        <v>5.0599999999999996</v>
      </c>
      <c r="G15" s="509" t="s">
        <v>1281</v>
      </c>
      <c r="H15" s="509">
        <v>3</v>
      </c>
      <c r="I15" s="510">
        <f>F15*D15*H15</f>
        <v>0.60719999999999996</v>
      </c>
      <c r="J15" s="478"/>
      <c r="K15" s="478"/>
      <c r="L15" s="478"/>
      <c r="M15" s="478"/>
      <c r="N15" s="478"/>
    </row>
    <row r="16" spans="1:14" ht="28.8" x14ac:dyDescent="0.3">
      <c r="A16" s="184">
        <v>30</v>
      </c>
      <c r="B16" s="508" t="s">
        <v>1345</v>
      </c>
      <c r="C16" s="508" t="s">
        <v>1346</v>
      </c>
      <c r="D16" s="495">
        <v>0.1</v>
      </c>
      <c r="E16" s="497" t="s">
        <v>593</v>
      </c>
      <c r="F16" s="496">
        <v>3.6</v>
      </c>
      <c r="G16" s="509"/>
      <c r="H16" s="509"/>
      <c r="I16" s="510">
        <f>F16*D16</f>
        <v>0.36000000000000004</v>
      </c>
      <c r="J16" s="478"/>
      <c r="K16" s="478"/>
      <c r="L16" s="478"/>
      <c r="M16" s="478"/>
      <c r="N16" s="478"/>
    </row>
    <row r="17" spans="1:14" x14ac:dyDescent="0.3">
      <c r="A17" s="504"/>
      <c r="B17" s="504"/>
      <c r="C17" s="504"/>
      <c r="D17" s="504"/>
      <c r="E17" s="504"/>
      <c r="F17" s="504"/>
      <c r="G17" s="504"/>
      <c r="H17" s="372" t="s">
        <v>547</v>
      </c>
      <c r="I17" s="541">
        <f>SUM(I14:I16)</f>
        <v>2.2671999999999999</v>
      </c>
      <c r="J17" s="504"/>
      <c r="K17" s="504"/>
      <c r="L17" s="504"/>
      <c r="M17" s="504"/>
      <c r="N17" s="504"/>
    </row>
    <row r="18" spans="1:14" x14ac:dyDescent="0.3">
      <c r="A18" s="478"/>
      <c r="B18" s="478"/>
      <c r="C18" s="478"/>
      <c r="D18" s="478"/>
      <c r="E18" s="478"/>
      <c r="F18" s="478"/>
      <c r="G18" s="478"/>
      <c r="H18" s="478"/>
      <c r="I18" s="478"/>
      <c r="J18" s="478"/>
      <c r="K18" s="478"/>
      <c r="L18" s="478"/>
      <c r="M18" s="478"/>
      <c r="N18" s="478"/>
    </row>
  </sheetData>
  <pageMargins left="0.7" right="0.7" top="0.75" bottom="0.75" header="0.3" footer="0.3"/>
  <pageSetup paperSize="9" scale="62" orientation="landscape" r:id="rId1"/>
  <ignoredErrors>
    <ignoredError sqref="I15" formula="1"/>
  </ignoredErrors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11.5546875" defaultRowHeight="14.4" x14ac:dyDescent="0.3"/>
  <cols>
    <col min="2" max="2" width="33.6640625" bestFit="1" customWidth="1"/>
    <col min="3" max="3" width="18.88671875" customWidth="1"/>
    <col min="4" max="4" width="13.5546875" customWidth="1"/>
    <col min="7" max="7" width="16.21875" customWidth="1"/>
    <col min="8" max="8" width="14" customWidth="1"/>
    <col min="9" max="9" width="15.88671875" customWidth="1"/>
    <col min="10" max="10" width="14.33203125" customWidth="1"/>
    <col min="13" max="13" width="18.664062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N11+I16</f>
        <v>0.23635456454989542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8</v>
      </c>
    </row>
    <row r="3" spans="1:14" x14ac:dyDescent="0.3">
      <c r="A3" s="343" t="s">
        <v>534</v>
      </c>
      <c r="B3" s="319" t="s">
        <v>1325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1328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1.8908365163991634</v>
      </c>
    </row>
    <row r="5" spans="1:14" x14ac:dyDescent="0.3">
      <c r="A5" s="343" t="s">
        <v>537</v>
      </c>
      <c r="B5" s="319" t="s">
        <v>180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/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799</v>
      </c>
      <c r="C10" s="494"/>
      <c r="D10" s="495">
        <v>4.2</v>
      </c>
      <c r="E10" s="496">
        <v>0.02</v>
      </c>
      <c r="F10" s="497" t="s">
        <v>644</v>
      </c>
      <c r="G10" s="496"/>
      <c r="H10" s="498"/>
      <c r="I10" s="466" t="s">
        <v>1347</v>
      </c>
      <c r="J10" s="549">
        <f>E10*E10*PI()/4</f>
        <v>3.1415926535897931E-4</v>
      </c>
      <c r="K10" s="548">
        <v>6.0000000000000001E-3</v>
      </c>
      <c r="L10" s="500">
        <v>2710</v>
      </c>
      <c r="M10" s="550">
        <v>1</v>
      </c>
      <c r="N10" s="501">
        <f>IF(J10="",D10*M10,D10*J10*K10*L10*M10)</f>
        <v>2.1454564549895413E-2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2.1454564549895413E-2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s="559" customFormat="1" ht="43.2" x14ac:dyDescent="0.3">
      <c r="A14" s="184">
        <v>10</v>
      </c>
      <c r="B14" s="508" t="s">
        <v>589</v>
      </c>
      <c r="C14" s="508"/>
      <c r="D14" s="495">
        <v>1.3</v>
      </c>
      <c r="E14" s="494" t="s">
        <v>556</v>
      </c>
      <c r="F14" s="544">
        <v>1</v>
      </c>
      <c r="G14" s="509" t="s">
        <v>1412</v>
      </c>
      <c r="H14" s="509">
        <f>1/8</f>
        <v>0.125</v>
      </c>
      <c r="I14" s="510">
        <f>F14*D14*H14</f>
        <v>0.16250000000000001</v>
      </c>
      <c r="J14" s="478"/>
      <c r="K14" s="478"/>
      <c r="L14" s="478"/>
      <c r="M14" s="478"/>
      <c r="N14" s="478"/>
    </row>
    <row r="15" spans="1:14" ht="28.8" x14ac:dyDescent="0.3">
      <c r="A15" s="184">
        <v>20</v>
      </c>
      <c r="B15" s="508" t="s">
        <v>609</v>
      </c>
      <c r="C15" s="508" t="s">
        <v>1348</v>
      </c>
      <c r="D15" s="495">
        <v>0.04</v>
      </c>
      <c r="E15" s="497" t="s">
        <v>610</v>
      </c>
      <c r="F15" s="496">
        <v>1.31</v>
      </c>
      <c r="G15" s="509" t="s">
        <v>1349</v>
      </c>
      <c r="H15" s="509">
        <v>1</v>
      </c>
      <c r="I15" s="510">
        <f>F15*D15*H15</f>
        <v>5.2400000000000002E-2</v>
      </c>
      <c r="J15" s="478"/>
      <c r="K15" s="478"/>
      <c r="L15" s="478"/>
      <c r="M15" s="478"/>
      <c r="N15" s="478"/>
    </row>
    <row r="16" spans="1:14" x14ac:dyDescent="0.3">
      <c r="A16" s="504"/>
      <c r="B16" s="504"/>
      <c r="C16" s="504"/>
      <c r="D16" s="504"/>
      <c r="E16" s="504"/>
      <c r="F16" s="504"/>
      <c r="G16" s="504"/>
      <c r="H16" s="372" t="s">
        <v>547</v>
      </c>
      <c r="I16" s="541">
        <f>SUM(I14:I15)</f>
        <v>0.21490000000000001</v>
      </c>
      <c r="J16" s="504"/>
      <c r="K16" s="504"/>
      <c r="L16" s="504"/>
      <c r="M16" s="504"/>
      <c r="N16" s="504"/>
    </row>
    <row r="17" spans="1:14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  <c r="L17" s="161"/>
      <c r="M17" s="161"/>
      <c r="N17" s="161"/>
    </row>
  </sheetData>
  <pageMargins left="0.7" right="0.7" top="0.75" bottom="0.75" header="0.3" footer="0.3"/>
  <pageSetup paperSize="9" scale="61" orientation="landscape" r:id="rId1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N57"/>
  <sheetViews>
    <sheetView showGridLines="0" workbookViewId="0"/>
  </sheetViews>
  <sheetFormatPr defaultColWidth="11.5546875" defaultRowHeight="14.4" x14ac:dyDescent="0.3"/>
  <cols>
    <col min="1" max="1" width="16.44140625" customWidth="1"/>
    <col min="2" max="2" width="25.109375" customWidth="1"/>
    <col min="3" max="3" width="33.44140625" customWidth="1"/>
    <col min="4" max="4" width="14.88671875" customWidth="1"/>
    <col min="5" max="5" width="14.109375" customWidth="1"/>
    <col min="7" max="7" width="12.88671875" customWidth="1"/>
    <col min="8" max="8" width="21.33203125" customWidth="1"/>
    <col min="9" max="9" width="14.88671875" customWidth="1"/>
    <col min="10" max="10" width="13.33203125" customWidth="1"/>
    <col min="13" max="13" width="19.5546875" customWidth="1"/>
  </cols>
  <sheetData>
    <row r="1" spans="1:14" x14ac:dyDescent="0.3">
      <c r="A1" s="476" t="s">
        <v>523</v>
      </c>
      <c r="B1" s="477" t="s">
        <v>524</v>
      </c>
      <c r="C1" s="478"/>
      <c r="D1" s="478"/>
      <c r="E1" s="478"/>
      <c r="F1" s="478"/>
      <c r="G1" s="478"/>
      <c r="H1" s="478"/>
      <c r="I1" s="478"/>
      <c r="J1" s="476" t="s">
        <v>528</v>
      </c>
      <c r="K1" s="479">
        <v>81</v>
      </c>
      <c r="L1" s="478"/>
      <c r="M1" s="480" t="s">
        <v>531</v>
      </c>
      <c r="N1" s="481">
        <f>E15+N19+I39+J53+I57</f>
        <v>172.61916730375475</v>
      </c>
    </row>
    <row r="2" spans="1:14" x14ac:dyDescent="0.3">
      <c r="A2" s="476" t="s">
        <v>532</v>
      </c>
      <c r="B2" s="477" t="s">
        <v>1108</v>
      </c>
      <c r="C2" s="478"/>
      <c r="D2" s="478"/>
      <c r="E2" s="478"/>
      <c r="F2" s="478"/>
      <c r="G2" s="478"/>
      <c r="H2" s="478"/>
      <c r="I2" s="478"/>
      <c r="J2" s="477"/>
      <c r="K2" s="478"/>
      <c r="L2" s="478"/>
      <c r="M2" s="476" t="s">
        <v>533</v>
      </c>
      <c r="N2" s="482">
        <v>1</v>
      </c>
    </row>
    <row r="3" spans="1:14" x14ac:dyDescent="0.3">
      <c r="A3" s="476" t="s">
        <v>534</v>
      </c>
      <c r="B3" s="477" t="s">
        <v>1350</v>
      </c>
      <c r="C3" s="478"/>
      <c r="D3" s="478"/>
      <c r="E3" s="478"/>
      <c r="F3" s="478"/>
      <c r="G3" s="478"/>
      <c r="H3" s="478"/>
      <c r="I3" s="478"/>
      <c r="J3" s="476" t="s">
        <v>536</v>
      </c>
      <c r="K3" s="478"/>
      <c r="L3" s="478"/>
      <c r="M3" s="477"/>
      <c r="N3" s="478"/>
    </row>
    <row r="4" spans="1:14" x14ac:dyDescent="0.3">
      <c r="A4" s="476" t="s">
        <v>537</v>
      </c>
      <c r="B4" s="477" t="s">
        <v>181</v>
      </c>
      <c r="C4" s="478"/>
      <c r="D4" s="478"/>
      <c r="E4" s="478"/>
      <c r="F4" s="478"/>
      <c r="G4" s="478"/>
      <c r="H4" s="478"/>
      <c r="I4" s="478"/>
      <c r="J4" s="476" t="s">
        <v>538</v>
      </c>
      <c r="K4" s="478"/>
      <c r="L4" s="478"/>
      <c r="M4" s="480" t="s">
        <v>539</v>
      </c>
      <c r="N4" s="481">
        <f>N1*N2</f>
        <v>172.61916730375475</v>
      </c>
    </row>
    <row r="5" spans="1:14" x14ac:dyDescent="0.3">
      <c r="A5" s="476" t="s">
        <v>540</v>
      </c>
      <c r="B5" s="477" t="s">
        <v>36</v>
      </c>
      <c r="C5" s="478"/>
      <c r="D5" s="478"/>
      <c r="E5" s="478"/>
      <c r="F5" s="478"/>
      <c r="G5" s="478"/>
      <c r="H5" s="478"/>
      <c r="I5" s="478"/>
      <c r="J5" s="476" t="s">
        <v>541</v>
      </c>
      <c r="K5" s="478"/>
      <c r="L5" s="478"/>
      <c r="M5" s="478"/>
      <c r="N5" s="478"/>
    </row>
    <row r="6" spans="1:14" x14ac:dyDescent="0.3">
      <c r="A6" s="476" t="s">
        <v>542</v>
      </c>
      <c r="B6" s="166"/>
      <c r="C6" s="478"/>
      <c r="D6" s="478"/>
      <c r="E6" s="478"/>
      <c r="F6" s="478"/>
      <c r="G6" s="478"/>
      <c r="H6" s="478"/>
      <c r="I6" s="478"/>
      <c r="J6" s="478"/>
      <c r="K6" s="478"/>
      <c r="L6" s="478"/>
      <c r="M6" s="478"/>
      <c r="N6" s="478"/>
    </row>
    <row r="7" spans="1:14" x14ac:dyDescent="0.3">
      <c r="A7" s="478"/>
      <c r="B7" s="478"/>
      <c r="C7" s="478"/>
      <c r="D7" s="478"/>
      <c r="E7" s="478"/>
      <c r="F7" s="478"/>
      <c r="G7" s="478"/>
      <c r="H7" s="478"/>
      <c r="I7" s="478"/>
      <c r="J7" s="478"/>
      <c r="K7" s="478"/>
      <c r="L7" s="478"/>
      <c r="M7" s="478"/>
      <c r="N7" s="478"/>
    </row>
    <row r="8" spans="1:14" x14ac:dyDescent="0.3">
      <c r="A8" s="483" t="s">
        <v>544</v>
      </c>
      <c r="B8" s="483" t="s">
        <v>545</v>
      </c>
      <c r="C8" s="483" t="s">
        <v>546</v>
      </c>
      <c r="D8" s="483" t="s">
        <v>28</v>
      </c>
      <c r="E8" s="483" t="s">
        <v>547</v>
      </c>
      <c r="F8" s="477"/>
      <c r="G8" s="477"/>
      <c r="H8" s="477"/>
      <c r="I8" s="477"/>
      <c r="J8" s="477"/>
      <c r="K8" s="477"/>
      <c r="L8" s="477"/>
      <c r="M8" s="477"/>
      <c r="N8" s="477"/>
    </row>
    <row r="9" spans="1:14" x14ac:dyDescent="0.3">
      <c r="A9" s="485">
        <v>10</v>
      </c>
      <c r="B9" s="486" t="s">
        <v>1351</v>
      </c>
      <c r="C9" s="487">
        <f>'EN 12001'!N1</f>
        <v>16.135104441932832</v>
      </c>
      <c r="D9" s="488">
        <v>1</v>
      </c>
      <c r="E9" s="489">
        <f t="shared" ref="E9:E14" si="0">C9*D9</f>
        <v>16.135104441932832</v>
      </c>
      <c r="F9" s="478"/>
      <c r="G9" s="478"/>
      <c r="H9" s="478"/>
      <c r="I9" s="478"/>
      <c r="J9" s="478"/>
      <c r="K9" s="478"/>
      <c r="L9" s="478"/>
      <c r="M9" s="478"/>
      <c r="N9" s="478"/>
    </row>
    <row r="10" spans="1:14" x14ac:dyDescent="0.3">
      <c r="A10" s="485">
        <v>20</v>
      </c>
      <c r="B10" s="486" t="s">
        <v>1352</v>
      </c>
      <c r="C10" s="487">
        <f>'EN 12002'!N1</f>
        <v>16.873171866326508</v>
      </c>
      <c r="D10" s="488">
        <v>1</v>
      </c>
      <c r="E10" s="489">
        <f t="shared" si="0"/>
        <v>16.873171866326508</v>
      </c>
      <c r="F10" s="478"/>
      <c r="G10" s="478"/>
      <c r="H10" s="478"/>
      <c r="I10" s="478"/>
      <c r="J10" s="478"/>
      <c r="K10" s="478"/>
      <c r="L10" s="478"/>
      <c r="M10" s="478"/>
      <c r="N10" s="478"/>
    </row>
    <row r="11" spans="1:14" ht="26.25" customHeight="1" x14ac:dyDescent="0.3">
      <c r="A11" s="485">
        <v>30</v>
      </c>
      <c r="B11" s="486" t="s">
        <v>1353</v>
      </c>
      <c r="C11" s="487">
        <f>'EN 12003'!N1</f>
        <v>45.118166597010031</v>
      </c>
      <c r="D11" s="488">
        <v>1</v>
      </c>
      <c r="E11" s="489">
        <f t="shared" si="0"/>
        <v>45.118166597010031</v>
      </c>
      <c r="F11" s="478"/>
      <c r="G11" s="478"/>
      <c r="H11" s="478"/>
      <c r="I11" s="478"/>
      <c r="J11" s="478"/>
      <c r="K11" s="478"/>
      <c r="L11" s="478"/>
      <c r="M11" s="478"/>
      <c r="N11" s="478"/>
    </row>
    <row r="12" spans="1:14" ht="26.25" customHeight="1" x14ac:dyDescent="0.3">
      <c r="A12" s="485">
        <v>40</v>
      </c>
      <c r="B12" s="486" t="s">
        <v>1354</v>
      </c>
      <c r="C12" s="487">
        <f>'EN 12004'!N1</f>
        <v>0.2999339625947896</v>
      </c>
      <c r="D12" s="488">
        <v>6</v>
      </c>
      <c r="E12" s="489">
        <f t="shared" si="0"/>
        <v>1.7996037755687375</v>
      </c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485">
        <v>50</v>
      </c>
      <c r="B13" s="486" t="s">
        <v>1355</v>
      </c>
      <c r="C13" s="487">
        <f>'EN 12005'!N1</f>
        <v>3.6099992500000004</v>
      </c>
      <c r="D13" s="488">
        <v>1</v>
      </c>
      <c r="E13" s="489">
        <f t="shared" si="0"/>
        <v>3.6099992500000004</v>
      </c>
      <c r="F13" s="478"/>
      <c r="G13" s="478"/>
      <c r="H13" s="478"/>
      <c r="I13" s="478"/>
      <c r="J13" s="478"/>
      <c r="K13" s="478"/>
      <c r="L13" s="478"/>
      <c r="M13" s="478"/>
      <c r="N13" s="478"/>
    </row>
    <row r="14" spans="1:14" x14ac:dyDescent="0.3">
      <c r="A14" s="485">
        <v>60</v>
      </c>
      <c r="B14" s="486" t="s">
        <v>1356</v>
      </c>
      <c r="C14" s="487">
        <f>'EN 12006'!N1</f>
        <v>8.9764547062499993</v>
      </c>
      <c r="D14" s="488">
        <v>1</v>
      </c>
      <c r="E14" s="489">
        <f t="shared" si="0"/>
        <v>8.9764547062499993</v>
      </c>
      <c r="F14" s="478"/>
      <c r="G14" s="478"/>
      <c r="H14" s="478"/>
      <c r="I14" s="478"/>
      <c r="J14" s="478"/>
      <c r="K14" s="478"/>
      <c r="L14" s="478"/>
      <c r="M14" s="478"/>
      <c r="N14" s="478"/>
    </row>
    <row r="15" spans="1:14" x14ac:dyDescent="0.3">
      <c r="A15" s="478"/>
      <c r="B15" s="478"/>
      <c r="C15" s="478"/>
      <c r="D15" s="491" t="s">
        <v>547</v>
      </c>
      <c r="E15" s="492">
        <f>SUM(E9:E14)</f>
        <v>92.51250063708811</v>
      </c>
      <c r="F15" s="478"/>
      <c r="G15" s="478"/>
      <c r="H15" s="478"/>
      <c r="I15" s="478"/>
      <c r="J15" s="478"/>
      <c r="K15" s="478"/>
      <c r="L15" s="478"/>
      <c r="M15" s="478"/>
      <c r="N15" s="478"/>
    </row>
    <row r="16" spans="1:14" x14ac:dyDescent="0.3">
      <c r="A16" s="478"/>
      <c r="B16" s="478"/>
      <c r="C16" s="478"/>
      <c r="D16" s="478"/>
      <c r="E16" s="478"/>
      <c r="F16" s="478"/>
      <c r="G16" s="478"/>
      <c r="H16" s="478"/>
      <c r="I16" s="478"/>
      <c r="J16" s="478"/>
      <c r="K16" s="478"/>
      <c r="L16" s="478"/>
      <c r="M16" s="478"/>
      <c r="N16" s="478"/>
    </row>
    <row r="17" spans="1:14" x14ac:dyDescent="0.3">
      <c r="A17" s="483" t="s">
        <v>544</v>
      </c>
      <c r="B17" s="483" t="s">
        <v>581</v>
      </c>
      <c r="C17" s="483" t="s">
        <v>549</v>
      </c>
      <c r="D17" s="483" t="s">
        <v>550</v>
      </c>
      <c r="E17" s="483" t="s">
        <v>567</v>
      </c>
      <c r="F17" s="483" t="s">
        <v>568</v>
      </c>
      <c r="G17" s="483" t="s">
        <v>569</v>
      </c>
      <c r="H17" s="483" t="s">
        <v>570</v>
      </c>
      <c r="I17" s="483" t="s">
        <v>582</v>
      </c>
      <c r="J17" s="483" t="s">
        <v>583</v>
      </c>
      <c r="K17" s="483" t="s">
        <v>584</v>
      </c>
      <c r="L17" s="483" t="s">
        <v>585</v>
      </c>
      <c r="M17" s="483" t="s">
        <v>28</v>
      </c>
      <c r="N17" s="483" t="s">
        <v>547</v>
      </c>
    </row>
    <row r="18" spans="1:14" x14ac:dyDescent="0.3">
      <c r="A18" s="184">
        <v>10</v>
      </c>
      <c r="B18" s="381" t="s">
        <v>1357</v>
      </c>
      <c r="C18" s="494" t="s">
        <v>1358</v>
      </c>
      <c r="D18" s="495">
        <v>0.05</v>
      </c>
      <c r="E18" s="496">
        <v>1112</v>
      </c>
      <c r="F18" s="497" t="s">
        <v>573</v>
      </c>
      <c r="G18" s="496"/>
      <c r="H18" s="498"/>
      <c r="I18" s="466"/>
      <c r="J18" s="499"/>
      <c r="K18" s="500"/>
      <c r="L18" s="500"/>
      <c r="M18" s="550">
        <v>1112</v>
      </c>
      <c r="N18" s="501">
        <f>IF(J18="",D18*M18,D18*J18*K18*L18*M18)</f>
        <v>55.6</v>
      </c>
    </row>
    <row r="19" spans="1:14" x14ac:dyDescent="0.3">
      <c r="A19" s="504"/>
      <c r="B19" s="504"/>
      <c r="C19" s="504"/>
      <c r="D19" s="504"/>
      <c r="E19" s="504"/>
      <c r="F19" s="504"/>
      <c r="G19" s="504"/>
      <c r="H19" s="504"/>
      <c r="I19" s="504"/>
      <c r="J19" s="504"/>
      <c r="K19" s="504"/>
      <c r="L19" s="504"/>
      <c r="M19" s="491" t="s">
        <v>547</v>
      </c>
      <c r="N19" s="492">
        <f>SUM(N18:N18)</f>
        <v>55.6</v>
      </c>
    </row>
    <row r="20" spans="1:14" x14ac:dyDescent="0.3">
      <c r="A20" s="478"/>
      <c r="B20" s="478"/>
      <c r="C20" s="478"/>
      <c r="D20" s="478"/>
      <c r="E20" s="478"/>
      <c r="F20" s="478"/>
      <c r="G20" s="478"/>
      <c r="H20" s="478"/>
      <c r="I20" s="478"/>
      <c r="J20" s="478"/>
      <c r="K20" s="478"/>
      <c r="L20" s="478"/>
      <c r="M20" s="478"/>
      <c r="N20" s="478"/>
    </row>
    <row r="21" spans="1:14" x14ac:dyDescent="0.3">
      <c r="A21" s="483" t="s">
        <v>544</v>
      </c>
      <c r="B21" s="483" t="s">
        <v>548</v>
      </c>
      <c r="C21" s="483" t="s">
        <v>549</v>
      </c>
      <c r="D21" s="483" t="s">
        <v>550</v>
      </c>
      <c r="E21" s="483" t="s">
        <v>551</v>
      </c>
      <c r="F21" s="483" t="s">
        <v>28</v>
      </c>
      <c r="G21" s="483" t="s">
        <v>552</v>
      </c>
      <c r="H21" s="483" t="s">
        <v>553</v>
      </c>
      <c r="I21" s="483" t="s">
        <v>547</v>
      </c>
      <c r="J21" s="504"/>
      <c r="K21" s="504"/>
      <c r="L21" s="504"/>
      <c r="M21" s="504"/>
      <c r="N21" s="504"/>
    </row>
    <row r="22" spans="1:14" x14ac:dyDescent="0.3">
      <c r="A22" s="184">
        <v>10</v>
      </c>
      <c r="B22" s="508" t="s">
        <v>650</v>
      </c>
      <c r="C22" s="508" t="s">
        <v>1359</v>
      </c>
      <c r="D22" s="495">
        <v>0.15</v>
      </c>
      <c r="E22" s="497" t="s">
        <v>593</v>
      </c>
      <c r="F22" s="496">
        <v>15</v>
      </c>
      <c r="G22" s="509"/>
      <c r="H22" s="509"/>
      <c r="I22" s="510">
        <f>D22*F22</f>
        <v>2.25</v>
      </c>
      <c r="J22" s="478"/>
      <c r="K22" s="478"/>
      <c r="L22" s="478"/>
      <c r="M22" s="478"/>
      <c r="N22" s="478"/>
    </row>
    <row r="23" spans="1:14" ht="28.8" x14ac:dyDescent="0.3">
      <c r="A23" s="184">
        <v>20</v>
      </c>
      <c r="B23" s="508" t="s">
        <v>1006</v>
      </c>
      <c r="C23" s="508" t="s">
        <v>1360</v>
      </c>
      <c r="D23" s="495">
        <v>0.56000000000000005</v>
      </c>
      <c r="E23" s="497" t="s">
        <v>556</v>
      </c>
      <c r="F23" s="496">
        <v>1</v>
      </c>
      <c r="G23" s="509"/>
      <c r="H23" s="509"/>
      <c r="I23" s="510">
        <f>D23*F23</f>
        <v>0.56000000000000005</v>
      </c>
      <c r="J23" s="478"/>
      <c r="K23" s="478"/>
      <c r="L23" s="478"/>
      <c r="M23" s="478"/>
      <c r="N23" s="478"/>
    </row>
    <row r="24" spans="1:14" x14ac:dyDescent="0.3">
      <c r="A24" s="184">
        <v>30</v>
      </c>
      <c r="B24" s="508" t="s">
        <v>760</v>
      </c>
      <c r="C24" s="508" t="s">
        <v>1361</v>
      </c>
      <c r="D24" s="495">
        <v>0.19</v>
      </c>
      <c r="E24" s="497" t="s">
        <v>556</v>
      </c>
      <c r="F24" s="496">
        <v>1</v>
      </c>
      <c r="G24" s="509"/>
      <c r="H24" s="509"/>
      <c r="I24" s="510">
        <f t="shared" ref="I24:I30" si="1">D24*F24</f>
        <v>0.19</v>
      </c>
      <c r="J24" s="478"/>
      <c r="K24" s="478"/>
      <c r="L24" s="478"/>
      <c r="M24" s="478"/>
      <c r="N24" s="478"/>
    </row>
    <row r="25" spans="1:14" x14ac:dyDescent="0.3">
      <c r="A25" s="184">
        <v>40</v>
      </c>
      <c r="B25" s="508" t="s">
        <v>557</v>
      </c>
      <c r="C25" s="508" t="s">
        <v>1362</v>
      </c>
      <c r="D25" s="495">
        <v>0.06</v>
      </c>
      <c r="E25" s="497" t="s">
        <v>556</v>
      </c>
      <c r="F25" s="496">
        <v>6</v>
      </c>
      <c r="G25" s="509"/>
      <c r="H25" s="509"/>
      <c r="I25" s="510">
        <f t="shared" si="1"/>
        <v>0.36</v>
      </c>
      <c r="J25" s="478"/>
      <c r="K25" s="478"/>
      <c r="L25" s="478"/>
      <c r="M25" s="478"/>
      <c r="N25" s="478"/>
    </row>
    <row r="26" spans="1:14" x14ac:dyDescent="0.3">
      <c r="A26" s="184">
        <v>50</v>
      </c>
      <c r="B26" s="508" t="s">
        <v>557</v>
      </c>
      <c r="C26" s="508" t="s">
        <v>1363</v>
      </c>
      <c r="D26" s="495">
        <v>0.06</v>
      </c>
      <c r="E26" s="497" t="s">
        <v>556</v>
      </c>
      <c r="F26" s="496">
        <v>1</v>
      </c>
      <c r="G26" s="509"/>
      <c r="H26" s="509"/>
      <c r="I26" s="510">
        <f t="shared" si="1"/>
        <v>0.06</v>
      </c>
      <c r="J26" s="478"/>
      <c r="K26" s="478"/>
      <c r="L26" s="478"/>
      <c r="M26" s="478"/>
      <c r="N26" s="478"/>
    </row>
    <row r="27" spans="1:14" x14ac:dyDescent="0.3">
      <c r="A27" s="184">
        <v>60</v>
      </c>
      <c r="B27" s="508" t="s">
        <v>559</v>
      </c>
      <c r="C27" s="508" t="s">
        <v>1364</v>
      </c>
      <c r="D27" s="495">
        <v>0.75</v>
      </c>
      <c r="E27" s="497" t="s">
        <v>556</v>
      </c>
      <c r="F27" s="496">
        <v>6</v>
      </c>
      <c r="G27" s="509"/>
      <c r="H27" s="509"/>
      <c r="I27" s="510">
        <f t="shared" si="1"/>
        <v>4.5</v>
      </c>
      <c r="J27" s="478"/>
      <c r="K27" s="478"/>
      <c r="L27" s="478"/>
      <c r="M27" s="478"/>
      <c r="N27" s="478"/>
    </row>
    <row r="28" spans="1:14" x14ac:dyDescent="0.3">
      <c r="A28" s="184">
        <v>70</v>
      </c>
      <c r="B28" s="508" t="s">
        <v>616</v>
      </c>
      <c r="C28" s="508" t="s">
        <v>1364</v>
      </c>
      <c r="D28" s="495">
        <v>0.25</v>
      </c>
      <c r="E28" s="497" t="s">
        <v>556</v>
      </c>
      <c r="F28" s="496">
        <v>6</v>
      </c>
      <c r="G28" s="509"/>
      <c r="H28" s="509"/>
      <c r="I28" s="510">
        <f t="shared" si="1"/>
        <v>1.5</v>
      </c>
      <c r="J28" s="478"/>
      <c r="K28" s="478"/>
      <c r="L28" s="478"/>
      <c r="M28" s="478"/>
      <c r="N28" s="478"/>
    </row>
    <row r="29" spans="1:14" x14ac:dyDescent="0.3">
      <c r="A29" s="184">
        <v>80</v>
      </c>
      <c r="B29" s="508" t="s">
        <v>760</v>
      </c>
      <c r="C29" s="508" t="s">
        <v>1365</v>
      </c>
      <c r="D29" s="495">
        <v>0.19</v>
      </c>
      <c r="E29" s="497" t="s">
        <v>556</v>
      </c>
      <c r="F29" s="496">
        <v>1</v>
      </c>
      <c r="G29" s="509"/>
      <c r="H29" s="509"/>
      <c r="I29" s="510">
        <f t="shared" si="1"/>
        <v>0.19</v>
      </c>
      <c r="J29" s="478"/>
      <c r="K29" s="478"/>
      <c r="L29" s="478"/>
      <c r="M29" s="478"/>
      <c r="N29" s="478"/>
    </row>
    <row r="30" spans="1:14" x14ac:dyDescent="0.3">
      <c r="A30" s="184">
        <v>90</v>
      </c>
      <c r="B30" s="508" t="s">
        <v>559</v>
      </c>
      <c r="C30" s="508" t="s">
        <v>1366</v>
      </c>
      <c r="D30" s="495">
        <v>0.75</v>
      </c>
      <c r="E30" s="497" t="s">
        <v>556</v>
      </c>
      <c r="F30" s="496">
        <v>1</v>
      </c>
      <c r="G30" s="509"/>
      <c r="H30" s="509"/>
      <c r="I30" s="510">
        <f t="shared" si="1"/>
        <v>0.75</v>
      </c>
      <c r="J30" s="478"/>
      <c r="K30" s="478"/>
      <c r="L30" s="478"/>
      <c r="M30" s="478"/>
      <c r="N30" s="478"/>
    </row>
    <row r="31" spans="1:14" x14ac:dyDescent="0.3">
      <c r="A31" s="184">
        <v>100</v>
      </c>
      <c r="B31" s="508" t="s">
        <v>1367</v>
      </c>
      <c r="C31" s="508" t="s">
        <v>1368</v>
      </c>
      <c r="D31" s="495">
        <v>0.63</v>
      </c>
      <c r="E31" s="497" t="s">
        <v>556</v>
      </c>
      <c r="F31" s="496">
        <v>1</v>
      </c>
      <c r="G31" s="509"/>
      <c r="H31" s="509"/>
      <c r="I31" s="510">
        <f>D31*F31</f>
        <v>0.63</v>
      </c>
      <c r="J31" s="478"/>
      <c r="K31" s="478"/>
      <c r="L31" s="478"/>
      <c r="M31" s="478"/>
      <c r="N31" s="478"/>
    </row>
    <row r="32" spans="1:14" x14ac:dyDescent="0.3">
      <c r="A32" s="184">
        <v>110</v>
      </c>
      <c r="B32" s="508" t="s">
        <v>1369</v>
      </c>
      <c r="C32" s="508" t="s">
        <v>1370</v>
      </c>
      <c r="D32" s="495">
        <v>5</v>
      </c>
      <c r="E32" s="497" t="s">
        <v>556</v>
      </c>
      <c r="F32" s="496">
        <v>1</v>
      </c>
      <c r="G32" s="509"/>
      <c r="H32" s="509"/>
      <c r="I32" s="510">
        <f>D32*F32</f>
        <v>5</v>
      </c>
      <c r="J32" s="478"/>
      <c r="K32" s="478"/>
      <c r="L32" s="478"/>
      <c r="M32" s="478"/>
      <c r="N32" s="478"/>
    </row>
    <row r="33" spans="1:14" x14ac:dyDescent="0.3">
      <c r="A33" s="184">
        <v>120</v>
      </c>
      <c r="B33" s="508" t="s">
        <v>557</v>
      </c>
      <c r="C33" s="508" t="s">
        <v>1371</v>
      </c>
      <c r="D33" s="495">
        <v>0.06</v>
      </c>
      <c r="E33" s="497" t="s">
        <v>556</v>
      </c>
      <c r="F33" s="496">
        <v>1</v>
      </c>
      <c r="G33" s="509"/>
      <c r="H33" s="509"/>
      <c r="I33" s="510">
        <f t="shared" ref="I33:I38" si="2">D33*F33</f>
        <v>0.06</v>
      </c>
      <c r="J33" s="478"/>
      <c r="K33" s="478"/>
      <c r="L33" s="478"/>
      <c r="M33" s="478"/>
      <c r="N33" s="478"/>
    </row>
    <row r="34" spans="1:14" ht="28.8" x14ac:dyDescent="0.3">
      <c r="A34" s="184">
        <v>130</v>
      </c>
      <c r="B34" s="508" t="s">
        <v>559</v>
      </c>
      <c r="C34" s="508" t="s">
        <v>1372</v>
      </c>
      <c r="D34" s="495">
        <v>0.75</v>
      </c>
      <c r="E34" s="497" t="s">
        <v>556</v>
      </c>
      <c r="F34" s="496">
        <v>2</v>
      </c>
      <c r="G34" s="509"/>
      <c r="H34" s="509"/>
      <c r="I34" s="510">
        <f t="shared" si="2"/>
        <v>1.5</v>
      </c>
      <c r="J34" s="478"/>
      <c r="K34" s="478"/>
      <c r="L34" s="478"/>
      <c r="M34" s="478"/>
      <c r="N34" s="478"/>
    </row>
    <row r="35" spans="1:14" ht="28.8" x14ac:dyDescent="0.3">
      <c r="A35" s="184">
        <v>140</v>
      </c>
      <c r="B35" s="508" t="s">
        <v>616</v>
      </c>
      <c r="C35" s="508" t="s">
        <v>1372</v>
      </c>
      <c r="D35" s="495">
        <v>0.25</v>
      </c>
      <c r="E35" s="497" t="s">
        <v>556</v>
      </c>
      <c r="F35" s="496">
        <v>2</v>
      </c>
      <c r="G35" s="509"/>
      <c r="H35" s="509"/>
      <c r="I35" s="510">
        <f t="shared" si="2"/>
        <v>0.5</v>
      </c>
      <c r="J35" s="478"/>
      <c r="K35" s="478"/>
      <c r="L35" s="478"/>
      <c r="M35" s="478"/>
      <c r="N35" s="478"/>
    </row>
    <row r="36" spans="1:14" ht="28.8" x14ac:dyDescent="0.3">
      <c r="A36" s="184">
        <v>150</v>
      </c>
      <c r="B36" s="508" t="s">
        <v>557</v>
      </c>
      <c r="C36" s="508" t="s">
        <v>1373</v>
      </c>
      <c r="D36" s="495">
        <v>0.06</v>
      </c>
      <c r="E36" s="497" t="s">
        <v>556</v>
      </c>
      <c r="F36" s="496">
        <v>1</v>
      </c>
      <c r="G36" s="509"/>
      <c r="H36" s="509"/>
      <c r="I36" s="510">
        <f t="shared" si="2"/>
        <v>0.06</v>
      </c>
      <c r="J36" s="478"/>
      <c r="K36" s="478"/>
      <c r="L36" s="478"/>
      <c r="M36" s="478"/>
      <c r="N36" s="478"/>
    </row>
    <row r="37" spans="1:14" x14ac:dyDescent="0.3">
      <c r="A37" s="184">
        <v>160</v>
      </c>
      <c r="B37" s="508" t="s">
        <v>559</v>
      </c>
      <c r="C37" s="508" t="s">
        <v>1374</v>
      </c>
      <c r="D37" s="495">
        <v>0.75</v>
      </c>
      <c r="E37" s="497" t="s">
        <v>556</v>
      </c>
      <c r="F37" s="496">
        <v>1</v>
      </c>
      <c r="G37" s="509"/>
      <c r="H37" s="509"/>
      <c r="I37" s="510">
        <f t="shared" si="2"/>
        <v>0.75</v>
      </c>
      <c r="J37" s="478"/>
      <c r="K37" s="478"/>
      <c r="L37" s="478"/>
      <c r="M37" s="478"/>
      <c r="N37" s="478"/>
    </row>
    <row r="38" spans="1:14" x14ac:dyDescent="0.3">
      <c r="A38" s="184">
        <v>170</v>
      </c>
      <c r="B38" s="508" t="s">
        <v>616</v>
      </c>
      <c r="C38" s="508" t="s">
        <v>1374</v>
      </c>
      <c r="D38" s="495">
        <v>0.25</v>
      </c>
      <c r="E38" s="497" t="s">
        <v>556</v>
      </c>
      <c r="F38" s="496">
        <v>1</v>
      </c>
      <c r="G38" s="509"/>
      <c r="H38" s="509"/>
      <c r="I38" s="510">
        <f t="shared" si="2"/>
        <v>0.25</v>
      </c>
      <c r="J38" s="478"/>
      <c r="K38" s="478"/>
      <c r="L38" s="478"/>
      <c r="M38" s="478"/>
      <c r="N38" s="478"/>
    </row>
    <row r="39" spans="1:14" x14ac:dyDescent="0.3">
      <c r="A39" s="504"/>
      <c r="B39" s="504"/>
      <c r="C39" s="504"/>
      <c r="D39" s="504"/>
      <c r="E39" s="504"/>
      <c r="F39" s="504"/>
      <c r="G39" s="504"/>
      <c r="H39" s="491" t="s">
        <v>547</v>
      </c>
      <c r="I39" s="492">
        <f>SUM(I22:I38)</f>
        <v>19.11</v>
      </c>
      <c r="J39" s="522"/>
      <c r="K39" s="504"/>
      <c r="L39" s="504"/>
      <c r="M39" s="504"/>
      <c r="N39" s="504"/>
    </row>
    <row r="40" spans="1:14" x14ac:dyDescent="0.3">
      <c r="A40" s="478"/>
      <c r="B40" s="478"/>
      <c r="C40" s="478"/>
      <c r="D40" s="478"/>
      <c r="E40" s="478"/>
      <c r="F40" s="478"/>
      <c r="G40" s="478"/>
      <c r="H40" s="478"/>
      <c r="I40" s="478"/>
      <c r="J40" s="478"/>
      <c r="K40" s="478"/>
      <c r="L40" s="478"/>
      <c r="M40" s="478"/>
      <c r="N40" s="478"/>
    </row>
    <row r="41" spans="1:14" x14ac:dyDescent="0.3">
      <c r="A41" s="483" t="s">
        <v>544</v>
      </c>
      <c r="B41" s="483" t="s">
        <v>566</v>
      </c>
      <c r="C41" s="483" t="s">
        <v>549</v>
      </c>
      <c r="D41" s="483" t="s">
        <v>550</v>
      </c>
      <c r="E41" s="483" t="s">
        <v>567</v>
      </c>
      <c r="F41" s="483" t="s">
        <v>568</v>
      </c>
      <c r="G41" s="483" t="s">
        <v>569</v>
      </c>
      <c r="H41" s="483" t="s">
        <v>570</v>
      </c>
      <c r="I41" s="483" t="s">
        <v>28</v>
      </c>
      <c r="J41" s="483" t="s">
        <v>547</v>
      </c>
      <c r="K41" s="504"/>
      <c r="L41" s="504"/>
      <c r="M41" s="504"/>
      <c r="N41" s="504"/>
    </row>
    <row r="42" spans="1:14" ht="28.8" x14ac:dyDescent="0.3">
      <c r="A42" s="184">
        <v>10</v>
      </c>
      <c r="B42" s="381" t="s">
        <v>1375</v>
      </c>
      <c r="C42" s="486" t="s">
        <v>1376</v>
      </c>
      <c r="D42" s="523">
        <v>0.54</v>
      </c>
      <c r="E42" s="496">
        <v>10</v>
      </c>
      <c r="F42" s="524" t="s">
        <v>573</v>
      </c>
      <c r="G42" s="496">
        <v>50</v>
      </c>
      <c r="H42" s="525" t="s">
        <v>573</v>
      </c>
      <c r="I42" s="526">
        <v>6</v>
      </c>
      <c r="J42" s="495">
        <f>D42*I42</f>
        <v>3.24</v>
      </c>
      <c r="K42" s="504"/>
      <c r="L42" s="504"/>
      <c r="M42" s="504"/>
      <c r="N42" s="504"/>
    </row>
    <row r="43" spans="1:14" ht="28.8" x14ac:dyDescent="0.3">
      <c r="A43" s="184">
        <v>20</v>
      </c>
      <c r="B43" s="381" t="s">
        <v>618</v>
      </c>
      <c r="C43" s="486" t="s">
        <v>1376</v>
      </c>
      <c r="D43" s="523">
        <v>7.0000000000000007E-2</v>
      </c>
      <c r="E43" s="496">
        <v>10</v>
      </c>
      <c r="F43" s="524" t="s">
        <v>573</v>
      </c>
      <c r="G43" s="496"/>
      <c r="H43" s="525"/>
      <c r="I43" s="526">
        <v>6</v>
      </c>
      <c r="J43" s="495">
        <f t="shared" ref="J43:J52" si="3">D43*I43</f>
        <v>0.42000000000000004</v>
      </c>
      <c r="K43" s="478"/>
      <c r="L43" s="478"/>
      <c r="M43" s="478"/>
      <c r="N43" s="478"/>
    </row>
    <row r="44" spans="1:14" ht="28.8" x14ac:dyDescent="0.3">
      <c r="A44" s="184">
        <v>30</v>
      </c>
      <c r="B44" s="381" t="s">
        <v>574</v>
      </c>
      <c r="C44" s="486" t="s">
        <v>1376</v>
      </c>
      <c r="D44" s="523">
        <v>0.01</v>
      </c>
      <c r="E44" s="496"/>
      <c r="F44" s="524" t="s">
        <v>556</v>
      </c>
      <c r="G44" s="496"/>
      <c r="H44" s="525"/>
      <c r="I44" s="526">
        <v>12</v>
      </c>
      <c r="J44" s="495">
        <f t="shared" si="3"/>
        <v>0.12</v>
      </c>
      <c r="K44" s="478"/>
      <c r="L44" s="478"/>
      <c r="M44" s="478"/>
      <c r="N44" s="478"/>
    </row>
    <row r="45" spans="1:14" ht="28.8" x14ac:dyDescent="0.3">
      <c r="A45" s="184">
        <v>40</v>
      </c>
      <c r="B45" s="381" t="s">
        <v>684</v>
      </c>
      <c r="C45" s="486" t="s">
        <v>1377</v>
      </c>
      <c r="D45" s="523">
        <v>0.08</v>
      </c>
      <c r="E45" s="496">
        <v>8</v>
      </c>
      <c r="F45" s="524" t="s">
        <v>573</v>
      </c>
      <c r="G45" s="496">
        <v>20</v>
      </c>
      <c r="H45" s="525" t="s">
        <v>573</v>
      </c>
      <c r="I45" s="526">
        <v>2</v>
      </c>
      <c r="J45" s="495">
        <f t="shared" si="3"/>
        <v>0.16</v>
      </c>
      <c r="K45" s="478"/>
      <c r="L45" s="478"/>
      <c r="M45" s="478"/>
      <c r="N45" s="478"/>
    </row>
    <row r="46" spans="1:14" ht="28.8" x14ac:dyDescent="0.3">
      <c r="A46" s="184">
        <v>50</v>
      </c>
      <c r="B46" s="381" t="s">
        <v>618</v>
      </c>
      <c r="C46" s="486" t="s">
        <v>1377</v>
      </c>
      <c r="D46" s="523">
        <v>0.04</v>
      </c>
      <c r="E46" s="496">
        <v>8</v>
      </c>
      <c r="F46" s="524" t="s">
        <v>573</v>
      </c>
      <c r="G46" s="496"/>
      <c r="H46" s="525"/>
      <c r="I46" s="526">
        <v>2</v>
      </c>
      <c r="J46" s="495">
        <f t="shared" si="3"/>
        <v>0.08</v>
      </c>
      <c r="K46" s="478"/>
      <c r="L46" s="478"/>
      <c r="M46" s="478"/>
      <c r="N46" s="478"/>
    </row>
    <row r="47" spans="1:14" ht="28.8" x14ac:dyDescent="0.3">
      <c r="A47" s="184">
        <v>60</v>
      </c>
      <c r="B47" s="381" t="s">
        <v>574</v>
      </c>
      <c r="C47" s="486" t="s">
        <v>1377</v>
      </c>
      <c r="D47" s="523">
        <v>0.01</v>
      </c>
      <c r="E47" s="496"/>
      <c r="F47" s="524" t="s">
        <v>556</v>
      </c>
      <c r="G47" s="496"/>
      <c r="H47" s="525"/>
      <c r="I47" s="526">
        <v>4</v>
      </c>
      <c r="J47" s="495">
        <f t="shared" si="3"/>
        <v>0.04</v>
      </c>
      <c r="K47" s="478"/>
      <c r="L47" s="478"/>
      <c r="M47" s="478"/>
      <c r="N47" s="478"/>
    </row>
    <row r="48" spans="1:14" ht="28.8" x14ac:dyDescent="0.3">
      <c r="A48" s="184">
        <v>70</v>
      </c>
      <c r="B48" s="381" t="s">
        <v>684</v>
      </c>
      <c r="C48" s="486" t="s">
        <v>1378</v>
      </c>
      <c r="D48" s="523">
        <v>0.04</v>
      </c>
      <c r="E48" s="496">
        <v>6</v>
      </c>
      <c r="F48" s="524" t="s">
        <v>573</v>
      </c>
      <c r="G48" s="496">
        <v>20</v>
      </c>
      <c r="H48" s="525" t="s">
        <v>573</v>
      </c>
      <c r="I48" s="526">
        <v>1</v>
      </c>
      <c r="J48" s="495">
        <f t="shared" si="3"/>
        <v>0.04</v>
      </c>
      <c r="K48" s="478"/>
      <c r="L48" s="478"/>
      <c r="M48" s="478"/>
      <c r="N48" s="478"/>
    </row>
    <row r="49" spans="1:14" ht="28.8" x14ac:dyDescent="0.3">
      <c r="A49" s="184">
        <v>80</v>
      </c>
      <c r="B49" s="381" t="s">
        <v>618</v>
      </c>
      <c r="C49" s="486" t="s">
        <v>1378</v>
      </c>
      <c r="D49" s="523">
        <v>0.03</v>
      </c>
      <c r="E49" s="496">
        <v>6</v>
      </c>
      <c r="F49" s="524" t="s">
        <v>573</v>
      </c>
      <c r="G49" s="496"/>
      <c r="H49" s="525"/>
      <c r="I49" s="526">
        <v>1</v>
      </c>
      <c r="J49" s="495">
        <f t="shared" si="3"/>
        <v>0.03</v>
      </c>
      <c r="K49" s="478"/>
      <c r="L49" s="478"/>
      <c r="M49" s="478"/>
      <c r="N49" s="478"/>
    </row>
    <row r="50" spans="1:14" ht="28.8" x14ac:dyDescent="0.3">
      <c r="A50" s="184">
        <v>90</v>
      </c>
      <c r="B50" s="381" t="s">
        <v>574</v>
      </c>
      <c r="C50" s="486" t="s">
        <v>1378</v>
      </c>
      <c r="D50" s="523">
        <v>0.01</v>
      </c>
      <c r="E50" s="496"/>
      <c r="F50" s="524" t="s">
        <v>556</v>
      </c>
      <c r="G50" s="496"/>
      <c r="H50" s="525"/>
      <c r="I50" s="526">
        <v>2</v>
      </c>
      <c r="J50" s="495">
        <f t="shared" si="3"/>
        <v>0.02</v>
      </c>
      <c r="K50" s="478"/>
      <c r="L50" s="478"/>
      <c r="M50" s="478"/>
      <c r="N50" s="478"/>
    </row>
    <row r="51" spans="1:14" ht="28.8" x14ac:dyDescent="0.3">
      <c r="A51" s="184">
        <v>100</v>
      </c>
      <c r="B51" s="381" t="s">
        <v>684</v>
      </c>
      <c r="C51" s="486" t="s">
        <v>1379</v>
      </c>
      <c r="D51" s="523">
        <v>0.08</v>
      </c>
      <c r="E51" s="496">
        <v>8</v>
      </c>
      <c r="F51" s="524" t="s">
        <v>573</v>
      </c>
      <c r="G51" s="496">
        <v>20</v>
      </c>
      <c r="H51" s="525" t="s">
        <v>573</v>
      </c>
      <c r="I51" s="526">
        <v>1</v>
      </c>
      <c r="J51" s="495">
        <f t="shared" si="3"/>
        <v>0.08</v>
      </c>
      <c r="K51" s="478"/>
      <c r="L51" s="478"/>
      <c r="M51" s="478"/>
      <c r="N51" s="478"/>
    </row>
    <row r="52" spans="1:14" ht="28.8" x14ac:dyDescent="0.3">
      <c r="A52" s="184">
        <v>110</v>
      </c>
      <c r="B52" s="381" t="s">
        <v>575</v>
      </c>
      <c r="C52" s="486" t="s">
        <v>1380</v>
      </c>
      <c r="D52" s="523">
        <v>0.5</v>
      </c>
      <c r="E52" s="496">
        <v>52</v>
      </c>
      <c r="F52" s="524" t="s">
        <v>573</v>
      </c>
      <c r="G52" s="496"/>
      <c r="H52" s="525"/>
      <c r="I52" s="526">
        <v>1</v>
      </c>
      <c r="J52" s="495">
        <f t="shared" si="3"/>
        <v>0.5</v>
      </c>
      <c r="K52" s="478"/>
      <c r="L52" s="478"/>
      <c r="M52" s="478"/>
      <c r="N52" s="478"/>
    </row>
    <row r="53" spans="1:14" x14ac:dyDescent="0.3">
      <c r="A53" s="504"/>
      <c r="B53" s="504"/>
      <c r="C53" s="504"/>
      <c r="D53" s="504"/>
      <c r="E53" s="504"/>
      <c r="F53" s="504"/>
      <c r="G53" s="504"/>
      <c r="H53" s="504"/>
      <c r="I53" s="491" t="s">
        <v>547</v>
      </c>
      <c r="J53" s="492">
        <f>SUM(J42:J52)</f>
        <v>4.7300000000000004</v>
      </c>
      <c r="K53" s="504"/>
      <c r="L53" s="504"/>
      <c r="M53" s="504"/>
      <c r="N53" s="504"/>
    </row>
    <row r="54" spans="1:14" x14ac:dyDescent="0.3">
      <c r="A54" s="478"/>
      <c r="B54" s="478"/>
      <c r="C54" s="478"/>
      <c r="D54" s="478"/>
      <c r="E54" s="478"/>
      <c r="F54" s="478"/>
      <c r="G54" s="478"/>
      <c r="H54" s="478"/>
      <c r="I54" s="490"/>
      <c r="J54" s="478"/>
      <c r="K54" s="478"/>
      <c r="L54" s="478"/>
      <c r="M54" s="478"/>
      <c r="N54" s="478"/>
    </row>
    <row r="55" spans="1:14" x14ac:dyDescent="0.3">
      <c r="A55" s="483" t="s">
        <v>544</v>
      </c>
      <c r="B55" s="483" t="s">
        <v>6</v>
      </c>
      <c r="C55" s="483" t="s">
        <v>549</v>
      </c>
      <c r="D55" s="483" t="s">
        <v>550</v>
      </c>
      <c r="E55" s="483" t="s">
        <v>551</v>
      </c>
      <c r="F55" s="483" t="s">
        <v>28</v>
      </c>
      <c r="G55" s="483" t="s">
        <v>691</v>
      </c>
      <c r="H55" s="483" t="s">
        <v>736</v>
      </c>
      <c r="I55" s="483" t="s">
        <v>547</v>
      </c>
      <c r="J55" s="504"/>
      <c r="K55" s="504"/>
      <c r="L55" s="504"/>
      <c r="M55" s="504"/>
      <c r="N55" s="504"/>
    </row>
    <row r="56" spans="1:14" x14ac:dyDescent="0.3">
      <c r="A56" s="272">
        <v>10</v>
      </c>
      <c r="B56" s="486" t="s">
        <v>693</v>
      </c>
      <c r="C56" s="486" t="s">
        <v>1239</v>
      </c>
      <c r="D56" s="516">
        <v>500</v>
      </c>
      <c r="E56" s="517" t="s">
        <v>695</v>
      </c>
      <c r="F56" s="518">
        <v>2</v>
      </c>
      <c r="G56" s="518">
        <v>3000</v>
      </c>
      <c r="H56" s="518">
        <v>2</v>
      </c>
      <c r="I56" s="489">
        <f>D56*F56/G56*H56</f>
        <v>0.66666666666666663</v>
      </c>
      <c r="J56" s="478"/>
      <c r="K56" s="478"/>
      <c r="L56" s="478"/>
      <c r="M56" s="478"/>
      <c r="N56" s="478"/>
    </row>
    <row r="57" spans="1:14" x14ac:dyDescent="0.3">
      <c r="A57" s="504"/>
      <c r="B57" s="504"/>
      <c r="C57" s="504"/>
      <c r="D57" s="504"/>
      <c r="E57" s="504"/>
      <c r="F57" s="504"/>
      <c r="G57" s="504"/>
      <c r="H57" s="505" t="s">
        <v>547</v>
      </c>
      <c r="I57" s="521">
        <f>SUM(I56:I56)</f>
        <v>0.66666666666666663</v>
      </c>
      <c r="J57" s="504"/>
      <c r="K57" s="504"/>
      <c r="L57" s="504"/>
      <c r="M57" s="504"/>
      <c r="N57" s="504"/>
    </row>
  </sheetData>
  <pageMargins left="0.7" right="0.7" top="0.75" bottom="0.75" header="0.3" footer="0.3"/>
  <pageSetup paperSize="9" scale="45" orientation="landscape" r:id="rId1"/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9"/>
  <sheetViews>
    <sheetView showGridLines="0" workbookViewId="0"/>
  </sheetViews>
  <sheetFormatPr defaultColWidth="11.5546875" defaultRowHeight="14.4" x14ac:dyDescent="0.3"/>
  <cols>
    <col min="1" max="1" width="14.109375" customWidth="1"/>
    <col min="2" max="2" width="33.6640625" bestFit="1" customWidth="1"/>
    <col min="3" max="3" width="49.88671875" customWidth="1"/>
    <col min="4" max="4" width="13.6640625" customWidth="1"/>
    <col min="6" max="6" width="13.33203125" bestFit="1" customWidth="1"/>
    <col min="7" max="7" width="14.109375" customWidth="1"/>
    <col min="8" max="8" width="14.33203125" customWidth="1"/>
    <col min="9" max="9" width="17.44140625" customWidth="1"/>
    <col min="10" max="10" width="13.6640625" customWidth="1"/>
    <col min="11" max="12" width="11.6640625" bestFit="1" customWidth="1"/>
    <col min="13" max="13" width="20.33203125" customWidth="1"/>
    <col min="14" max="14" width="14.10937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N11+I18</f>
        <v>16.135104441932832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1</v>
      </c>
    </row>
    <row r="3" spans="1:14" x14ac:dyDescent="0.3">
      <c r="A3" s="343" t="s">
        <v>534</v>
      </c>
      <c r="B3" s="319" t="s">
        <v>1350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1351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16.135104441932832</v>
      </c>
    </row>
    <row r="5" spans="1:14" x14ac:dyDescent="0.3">
      <c r="A5" s="343" t="s">
        <v>537</v>
      </c>
      <c r="B5" s="319" t="s">
        <v>182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 t="s">
        <v>1117</v>
      </c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x14ac:dyDescent="0.3">
      <c r="A10" s="184">
        <v>10</v>
      </c>
      <c r="B10" s="381" t="s">
        <v>606</v>
      </c>
      <c r="C10" s="494" t="s">
        <v>1381</v>
      </c>
      <c r="D10" s="495">
        <v>2.25</v>
      </c>
      <c r="E10" s="496"/>
      <c r="F10" s="497"/>
      <c r="G10" s="496"/>
      <c r="H10" s="498"/>
      <c r="I10" s="466" t="s">
        <v>1382</v>
      </c>
      <c r="J10" s="549">
        <f>PI()*0.0475^2</f>
        <v>7.0882184246619708E-3</v>
      </c>
      <c r="K10" s="500">
        <v>1.9E-2</v>
      </c>
      <c r="L10" s="500">
        <v>7800</v>
      </c>
      <c r="M10" s="550">
        <v>1</v>
      </c>
      <c r="N10" s="501">
        <f>IF(J10="",D10*M10,D10*J10*K10*L10*M10)</f>
        <v>2.363566433703534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2.363566433703534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s="211" customFormat="1" ht="18" customHeight="1" x14ac:dyDescent="0.3">
      <c r="A14" s="183">
        <v>10</v>
      </c>
      <c r="B14" s="560" t="s">
        <v>589</v>
      </c>
      <c r="C14" s="560" t="s">
        <v>1383</v>
      </c>
      <c r="D14" s="561">
        <v>1.3</v>
      </c>
      <c r="E14" s="218" t="s">
        <v>556</v>
      </c>
      <c r="F14" s="554">
        <v>1</v>
      </c>
      <c r="G14" s="562"/>
      <c r="H14" s="562"/>
      <c r="I14" s="563">
        <f>F14*D14</f>
        <v>1.3</v>
      </c>
      <c r="J14" s="564"/>
      <c r="K14" s="564"/>
      <c r="L14" s="564"/>
      <c r="M14" s="564"/>
      <c r="N14" s="564"/>
    </row>
    <row r="15" spans="1:14" x14ac:dyDescent="0.3">
      <c r="A15" s="184">
        <v>20</v>
      </c>
      <c r="B15" s="508" t="s">
        <v>609</v>
      </c>
      <c r="C15" s="508" t="s">
        <v>1384</v>
      </c>
      <c r="D15" s="495">
        <v>0.04</v>
      </c>
      <c r="E15" s="497" t="s">
        <v>610</v>
      </c>
      <c r="F15" s="554">
        <f>J10*K10*1000000-48.58</f>
        <v>86.096150068577444</v>
      </c>
      <c r="G15" s="509" t="s">
        <v>1281</v>
      </c>
      <c r="H15" s="509">
        <v>3</v>
      </c>
      <c r="I15" s="510">
        <f>D15*F15*H15</f>
        <v>10.331538008229295</v>
      </c>
      <c r="J15" s="478"/>
      <c r="K15" s="478"/>
      <c r="L15" s="478"/>
      <c r="M15" s="478"/>
      <c r="N15" s="478"/>
    </row>
    <row r="16" spans="1:14" x14ac:dyDescent="0.3">
      <c r="A16" s="184">
        <v>30</v>
      </c>
      <c r="B16" s="508" t="s">
        <v>1385</v>
      </c>
      <c r="C16" s="508" t="s">
        <v>1386</v>
      </c>
      <c r="D16" s="495">
        <v>1.3</v>
      </c>
      <c r="E16" s="497" t="s">
        <v>556</v>
      </c>
      <c r="F16" s="554">
        <v>1</v>
      </c>
      <c r="G16" s="509"/>
      <c r="H16" s="509"/>
      <c r="I16" s="510">
        <f>F16*D16</f>
        <v>1.3</v>
      </c>
      <c r="J16" s="478"/>
      <c r="K16" s="478"/>
      <c r="L16" s="478"/>
      <c r="M16" s="478"/>
      <c r="N16" s="478"/>
    </row>
    <row r="17" spans="1:14" x14ac:dyDescent="0.3">
      <c r="A17" s="184">
        <v>40</v>
      </c>
      <c r="B17" s="508" t="s">
        <v>1387</v>
      </c>
      <c r="C17" s="508" t="s">
        <v>1388</v>
      </c>
      <c r="D17" s="495">
        <v>0.5</v>
      </c>
      <c r="E17" s="497" t="s">
        <v>593</v>
      </c>
      <c r="F17" s="554">
        <v>1.68</v>
      </c>
      <c r="G17" s="509"/>
      <c r="H17" s="509"/>
      <c r="I17" s="510">
        <f>F17*D17</f>
        <v>0.84</v>
      </c>
      <c r="J17" s="478"/>
      <c r="K17" s="478"/>
      <c r="L17" s="478"/>
      <c r="M17" s="478"/>
      <c r="N17" s="478"/>
    </row>
    <row r="18" spans="1:14" x14ac:dyDescent="0.3">
      <c r="A18" s="504"/>
      <c r="B18" s="504"/>
      <c r="C18" s="504"/>
      <c r="D18" s="504"/>
      <c r="E18" s="504"/>
      <c r="G18" s="504"/>
      <c r="H18" s="372" t="s">
        <v>547</v>
      </c>
      <c r="I18" s="541">
        <f>SUM(I14:I17)</f>
        <v>13.771538008229296</v>
      </c>
      <c r="J18" s="504"/>
      <c r="K18" s="504"/>
      <c r="L18" s="504"/>
      <c r="M18" s="504"/>
      <c r="N18" s="504"/>
    </row>
    <row r="19" spans="1:14" x14ac:dyDescent="0.3">
      <c r="A19" s="161"/>
      <c r="B19" s="161"/>
      <c r="C19" s="161"/>
      <c r="D19" s="161"/>
      <c r="E19" s="161"/>
      <c r="H19" s="161"/>
      <c r="I19" s="161"/>
      <c r="J19" s="161"/>
      <c r="K19" s="161"/>
      <c r="L19" s="161"/>
      <c r="M19" s="161"/>
      <c r="N19" s="161"/>
    </row>
  </sheetData>
  <pageMargins left="0.7" right="0.7" top="0.75" bottom="0.75" header="0.3" footer="0.3"/>
  <pageSetup paperSize="9" scale="51" fitToHeight="0" orientation="landscape" r:id="rId1"/>
  <ignoredErrors>
    <ignoredError sqref="I15" formula="1"/>
  </ignoredErrors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11.5546875" defaultRowHeight="14.4" x14ac:dyDescent="0.3"/>
  <cols>
    <col min="1" max="1" width="12.5546875" customWidth="1"/>
    <col min="2" max="2" width="33.6640625" bestFit="1" customWidth="1"/>
    <col min="3" max="3" width="29.88671875" customWidth="1"/>
    <col min="7" max="7" width="12.6640625" customWidth="1"/>
    <col min="8" max="8" width="15.5546875" customWidth="1"/>
    <col min="9" max="9" width="12.88671875" customWidth="1"/>
    <col min="10" max="10" width="13.5546875" customWidth="1"/>
    <col min="13" max="13" width="18.109375" customWidth="1"/>
    <col min="14" max="14" width="15.554687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N11+I16</f>
        <v>16.873171866326508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1</v>
      </c>
    </row>
    <row r="3" spans="1:14" x14ac:dyDescent="0.3">
      <c r="A3" s="343" t="s">
        <v>534</v>
      </c>
      <c r="B3" s="319" t="s">
        <v>1350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1352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16.873171866326508</v>
      </c>
    </row>
    <row r="5" spans="1:14" x14ac:dyDescent="0.3">
      <c r="A5" s="343" t="s">
        <v>537</v>
      </c>
      <c r="B5" s="319" t="s">
        <v>183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 t="s">
        <v>1117</v>
      </c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x14ac:dyDescent="0.3">
      <c r="A10" s="184">
        <v>10</v>
      </c>
      <c r="B10" s="381" t="s">
        <v>799</v>
      </c>
      <c r="C10" s="494">
        <v>4.2</v>
      </c>
      <c r="D10" s="495">
        <v>4.2</v>
      </c>
      <c r="E10" s="496"/>
      <c r="F10" s="497"/>
      <c r="G10" s="496"/>
      <c r="H10" s="498"/>
      <c r="I10" s="466" t="s">
        <v>1389</v>
      </c>
      <c r="J10" s="549">
        <f>0.115^2*PI()</f>
        <v>4.1547562843725017E-2</v>
      </c>
      <c r="K10" s="500">
        <v>8.9999999999999993E-3</v>
      </c>
      <c r="L10" s="500">
        <v>2710</v>
      </c>
      <c r="M10" s="550">
        <v>1</v>
      </c>
      <c r="N10" s="501">
        <f>IF(J10="",D10*M10,D10*J10*K10*L10*M10)</f>
        <v>4.2560492425855028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4.2560492425855028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ht="28.8" x14ac:dyDescent="0.3">
      <c r="A14" s="184">
        <v>10</v>
      </c>
      <c r="B14" s="508" t="s">
        <v>589</v>
      </c>
      <c r="C14" s="508" t="s">
        <v>1383</v>
      </c>
      <c r="D14" s="495">
        <v>1.3</v>
      </c>
      <c r="E14" s="497" t="s">
        <v>556</v>
      </c>
      <c r="F14" s="496">
        <v>1</v>
      </c>
      <c r="G14" s="509"/>
      <c r="H14" s="509"/>
      <c r="I14" s="510">
        <f>D14*F14</f>
        <v>1.3</v>
      </c>
      <c r="J14" s="478"/>
      <c r="K14" s="478"/>
      <c r="L14" s="478"/>
      <c r="M14" s="478"/>
      <c r="N14" s="478"/>
    </row>
    <row r="15" spans="1:14" ht="28.8" x14ac:dyDescent="0.3">
      <c r="A15" s="184">
        <v>20</v>
      </c>
      <c r="B15" s="508" t="s">
        <v>609</v>
      </c>
      <c r="C15" s="508" t="s">
        <v>1384</v>
      </c>
      <c r="D15" s="495">
        <v>0.04</v>
      </c>
      <c r="E15" s="497" t="s">
        <v>610</v>
      </c>
      <c r="F15" s="532">
        <f>J10*K10*1000000-91</f>
        <v>282.9280655935251</v>
      </c>
      <c r="G15" s="509" t="s">
        <v>710</v>
      </c>
      <c r="H15" s="509">
        <v>1</v>
      </c>
      <c r="I15" s="510">
        <f>H15*F15*D15</f>
        <v>11.317122623741005</v>
      </c>
      <c r="J15" s="478"/>
      <c r="K15" s="478"/>
      <c r="L15" s="478"/>
      <c r="M15" s="478"/>
      <c r="N15" s="478"/>
    </row>
    <row r="16" spans="1:14" x14ac:dyDescent="0.3">
      <c r="A16" s="504"/>
      <c r="B16" s="504"/>
      <c r="C16" s="504"/>
      <c r="D16" s="504"/>
      <c r="E16" s="504"/>
      <c r="F16" s="504"/>
      <c r="G16" s="504"/>
      <c r="H16" s="372" t="s">
        <v>547</v>
      </c>
      <c r="I16" s="541">
        <f>SUM(I14:I15)</f>
        <v>12.617122623741006</v>
      </c>
      <c r="J16" s="504"/>
      <c r="K16" s="504"/>
      <c r="L16" s="504"/>
      <c r="M16" s="504"/>
      <c r="N16" s="504"/>
    </row>
    <row r="17" spans="1:14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  <c r="L17" s="161"/>
      <c r="M17" s="161"/>
      <c r="N17" s="161"/>
    </row>
  </sheetData>
  <pageMargins left="0.7" right="0.7" top="0.75" bottom="0.75" header="0.3" footer="0.3"/>
  <pageSetup paperSize="9" scale="59" orientation="landscape" r:id="rId1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2"/>
  <sheetViews>
    <sheetView showGridLines="0" workbookViewId="0"/>
  </sheetViews>
  <sheetFormatPr defaultColWidth="11.5546875" defaultRowHeight="14.4" x14ac:dyDescent="0.3"/>
  <cols>
    <col min="1" max="1" width="12.88671875" customWidth="1"/>
    <col min="2" max="2" width="33.6640625" bestFit="1" customWidth="1"/>
    <col min="3" max="3" width="28.6640625" customWidth="1"/>
    <col min="4" max="4" width="13.33203125" customWidth="1"/>
    <col min="7" max="7" width="13.6640625" customWidth="1"/>
    <col min="8" max="8" width="14.44140625" customWidth="1"/>
    <col min="9" max="10" width="13.5546875" customWidth="1"/>
    <col min="13" max="13" width="18.33203125" customWidth="1"/>
    <col min="14" max="14" width="1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N11+I21</f>
        <v>45.118166597010031</v>
      </c>
    </row>
    <row r="2" spans="1:14" x14ac:dyDescent="0.3">
      <c r="A2" s="343" t="s">
        <v>532</v>
      </c>
      <c r="B2" s="319" t="s">
        <v>780</v>
      </c>
      <c r="C2" s="556" t="s">
        <v>732</v>
      </c>
      <c r="D2" s="557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1</v>
      </c>
    </row>
    <row r="3" spans="1:14" x14ac:dyDescent="0.3">
      <c r="A3" s="343" t="s">
        <v>534</v>
      </c>
      <c r="B3" s="319" t="s">
        <v>1350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1353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45.118166597010031</v>
      </c>
    </row>
    <row r="5" spans="1:14" x14ac:dyDescent="0.3">
      <c r="A5" s="343" t="s">
        <v>537</v>
      </c>
      <c r="B5" s="319" t="s">
        <v>1413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/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x14ac:dyDescent="0.3">
      <c r="A10" s="184">
        <v>10</v>
      </c>
      <c r="B10" s="381" t="s">
        <v>1241</v>
      </c>
      <c r="C10" s="494" t="s">
        <v>1390</v>
      </c>
      <c r="D10" s="495">
        <v>4.2</v>
      </c>
      <c r="E10" s="496"/>
      <c r="F10" s="497"/>
      <c r="G10" s="496"/>
      <c r="H10" s="498"/>
      <c r="I10" s="466" t="s">
        <v>1391</v>
      </c>
      <c r="J10" s="549">
        <f>PI()*0.183^2/4</f>
        <v>2.6302199094017143E-2</v>
      </c>
      <c r="K10" s="500">
        <v>3.3000000000000002E-2</v>
      </c>
      <c r="L10" s="500">
        <v>2710</v>
      </c>
      <c r="M10" s="550">
        <v>1</v>
      </c>
      <c r="N10" s="501">
        <f>IF(J10="",D10*M10,D10*J10*K10*L10*M10)</f>
        <v>9.8792637929074036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9.8792637929074036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ht="28.8" x14ac:dyDescent="0.3">
      <c r="A14" s="184">
        <v>10</v>
      </c>
      <c r="B14" s="508" t="s">
        <v>589</v>
      </c>
      <c r="C14" s="508" t="s">
        <v>1392</v>
      </c>
      <c r="D14" s="495">
        <v>1.3</v>
      </c>
      <c r="E14" s="497" t="s">
        <v>556</v>
      </c>
      <c r="F14" s="496">
        <v>1</v>
      </c>
      <c r="G14" s="509"/>
      <c r="H14" s="509"/>
      <c r="I14" s="510">
        <f t="shared" ref="I14:I20" si="0">F14*D14</f>
        <v>1.3</v>
      </c>
      <c r="J14" s="478"/>
      <c r="K14" s="478"/>
      <c r="L14" s="478"/>
      <c r="M14" s="478"/>
      <c r="N14" s="478"/>
    </row>
    <row r="15" spans="1:14" x14ac:dyDescent="0.3">
      <c r="A15" s="184">
        <v>20</v>
      </c>
      <c r="B15" s="508" t="s">
        <v>609</v>
      </c>
      <c r="C15" s="508" t="s">
        <v>1393</v>
      </c>
      <c r="D15" s="495">
        <v>0.04</v>
      </c>
      <c r="E15" s="497" t="s">
        <v>610</v>
      </c>
      <c r="F15" s="532">
        <f>J10*K10*1000000-167</f>
        <v>700.97257010256578</v>
      </c>
      <c r="G15" s="509"/>
      <c r="H15" s="509"/>
      <c r="I15" s="510">
        <f t="shared" si="0"/>
        <v>28.038902804102634</v>
      </c>
      <c r="J15" s="478"/>
      <c r="K15" s="478"/>
      <c r="L15" s="478"/>
      <c r="M15" s="478"/>
      <c r="N15" s="478"/>
    </row>
    <row r="16" spans="1:14" ht="28.8" x14ac:dyDescent="0.3">
      <c r="A16" s="184">
        <v>30</v>
      </c>
      <c r="B16" s="508" t="s">
        <v>785</v>
      </c>
      <c r="C16" s="508" t="s">
        <v>1394</v>
      </c>
      <c r="D16" s="495">
        <v>0.65</v>
      </c>
      <c r="E16" s="497" t="s">
        <v>556</v>
      </c>
      <c r="F16" s="496">
        <v>1</v>
      </c>
      <c r="G16" s="509"/>
      <c r="H16" s="509"/>
      <c r="I16" s="510">
        <f t="shared" si="0"/>
        <v>0.65</v>
      </c>
      <c r="J16" s="478"/>
      <c r="K16" s="478"/>
      <c r="L16" s="478"/>
      <c r="M16" s="478"/>
      <c r="N16" s="478"/>
    </row>
    <row r="17" spans="1:14" ht="28.8" x14ac:dyDescent="0.3">
      <c r="A17" s="184">
        <v>40</v>
      </c>
      <c r="B17" s="508" t="s">
        <v>609</v>
      </c>
      <c r="C17" s="508" t="s">
        <v>1395</v>
      </c>
      <c r="D17" s="495">
        <v>0.04</v>
      </c>
      <c r="E17" s="497" t="s">
        <v>610</v>
      </c>
      <c r="F17" s="496">
        <v>7.5</v>
      </c>
      <c r="G17" s="509"/>
      <c r="H17" s="509"/>
      <c r="I17" s="510">
        <f t="shared" si="0"/>
        <v>0.3</v>
      </c>
      <c r="J17" s="478"/>
      <c r="K17" s="478"/>
      <c r="L17" s="478"/>
      <c r="M17" s="478"/>
      <c r="N17" s="478"/>
    </row>
    <row r="18" spans="1:14" x14ac:dyDescent="0.3">
      <c r="A18" s="184">
        <v>50</v>
      </c>
      <c r="B18" s="508" t="s">
        <v>791</v>
      </c>
      <c r="C18" s="508" t="s">
        <v>1396</v>
      </c>
      <c r="D18" s="495">
        <v>0.35</v>
      </c>
      <c r="E18" s="497" t="s">
        <v>843</v>
      </c>
      <c r="F18" s="496">
        <v>6</v>
      </c>
      <c r="G18" s="509"/>
      <c r="H18" s="509"/>
      <c r="I18" s="510">
        <f t="shared" si="0"/>
        <v>2.0999999999999996</v>
      </c>
      <c r="J18" s="478"/>
      <c r="K18" s="478"/>
      <c r="L18" s="478"/>
      <c r="M18" s="478"/>
      <c r="N18" s="478"/>
    </row>
    <row r="19" spans="1:14" ht="28.8" x14ac:dyDescent="0.3">
      <c r="A19" s="184">
        <v>60</v>
      </c>
      <c r="B19" s="508" t="s">
        <v>1385</v>
      </c>
      <c r="C19" s="508" t="s">
        <v>1397</v>
      </c>
      <c r="D19" s="495">
        <v>1.3</v>
      </c>
      <c r="E19" s="497" t="s">
        <v>556</v>
      </c>
      <c r="F19" s="496">
        <v>1</v>
      </c>
      <c r="G19" s="509"/>
      <c r="H19" s="509"/>
      <c r="I19" s="510">
        <f t="shared" si="0"/>
        <v>1.3</v>
      </c>
      <c r="J19" s="478"/>
      <c r="K19" s="478"/>
      <c r="L19" s="478"/>
      <c r="M19" s="478"/>
      <c r="N19" s="478"/>
    </row>
    <row r="20" spans="1:14" x14ac:dyDescent="0.3">
      <c r="A20" s="184">
        <v>70</v>
      </c>
      <c r="B20" s="508" t="s">
        <v>1387</v>
      </c>
      <c r="C20" s="508" t="s">
        <v>1398</v>
      </c>
      <c r="D20" s="495">
        <v>0.5</v>
      </c>
      <c r="E20" s="497" t="s">
        <v>593</v>
      </c>
      <c r="F20" s="496">
        <v>3.1</v>
      </c>
      <c r="G20" s="509"/>
      <c r="H20" s="509"/>
      <c r="I20" s="510">
        <f t="shared" si="0"/>
        <v>1.55</v>
      </c>
      <c r="J20" s="478"/>
      <c r="K20" s="478"/>
      <c r="L20" s="478"/>
      <c r="M20" s="478"/>
      <c r="N20" s="478"/>
    </row>
    <row r="21" spans="1:14" x14ac:dyDescent="0.3">
      <c r="A21" s="504"/>
      <c r="B21" s="504"/>
      <c r="C21" s="504"/>
      <c r="D21" s="504"/>
      <c r="E21" s="504"/>
      <c r="F21" s="504"/>
      <c r="G21" s="504"/>
      <c r="H21" s="372" t="s">
        <v>547</v>
      </c>
      <c r="I21" s="541">
        <f>SUM(I14:I20)</f>
        <v>35.238902804102629</v>
      </c>
      <c r="J21" s="504"/>
      <c r="K21" s="504"/>
      <c r="L21" s="504"/>
      <c r="M21" s="504"/>
      <c r="N21" s="504"/>
    </row>
    <row r="22" spans="1:14" x14ac:dyDescent="0.3">
      <c r="A22" s="161"/>
      <c r="B22" s="161"/>
      <c r="C22" s="161"/>
      <c r="D22" s="161"/>
      <c r="E22" s="161"/>
      <c r="F22" s="161"/>
      <c r="G22" s="161"/>
      <c r="H22" s="161"/>
      <c r="I22" s="161"/>
      <c r="J22" s="161"/>
      <c r="K22" s="161"/>
      <c r="L22" s="161"/>
      <c r="M22" s="161"/>
      <c r="N22" s="161"/>
    </row>
  </sheetData>
  <hyperlinks>
    <hyperlink ref="D2" location="'Rear sprocket adapter drawing'!A1" display="FileLink1"/>
  </hyperlinks>
  <pageMargins left="0.7" right="0.7" top="0.75" bottom="0.75" header="0.3" footer="0.3"/>
  <pageSetup paperSize="9" scale="58" orientation="landscape" r:id="rId1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11.5546875" defaultRowHeight="14.4" x14ac:dyDescent="0.3"/>
  <cols>
    <col min="1" max="1" width="12.5546875" customWidth="1"/>
    <col min="2" max="2" width="33.6640625" bestFit="1" customWidth="1"/>
    <col min="3" max="3" width="29.88671875" customWidth="1"/>
    <col min="7" max="7" width="26.44140625" customWidth="1"/>
    <col min="8" max="8" width="15.5546875" customWidth="1"/>
    <col min="9" max="9" width="12.88671875" customWidth="1"/>
    <col min="10" max="10" width="13.5546875" customWidth="1"/>
    <col min="13" max="13" width="18.109375" customWidth="1"/>
    <col min="14" max="14" width="15.554687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N11+I16</f>
        <v>0.2999339625947896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6</v>
      </c>
    </row>
    <row r="3" spans="1:14" x14ac:dyDescent="0.3">
      <c r="A3" s="343" t="s">
        <v>534</v>
      </c>
      <c r="B3" s="319" t="s">
        <v>1350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1354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1.7996037755687375</v>
      </c>
    </row>
    <row r="5" spans="1:14" x14ac:dyDescent="0.3">
      <c r="A5" s="343" t="s">
        <v>537</v>
      </c>
      <c r="B5" s="319" t="s">
        <v>1414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/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43.2" x14ac:dyDescent="0.3">
      <c r="A10" s="184">
        <v>10</v>
      </c>
      <c r="B10" s="381" t="s">
        <v>799</v>
      </c>
      <c r="C10" s="494">
        <v>4.2</v>
      </c>
      <c r="D10" s="495">
        <v>4.2</v>
      </c>
      <c r="E10" s="496">
        <v>1.7999999999999999E-2</v>
      </c>
      <c r="F10" s="497" t="s">
        <v>644</v>
      </c>
      <c r="G10" s="496"/>
      <c r="H10" s="498"/>
      <c r="I10" s="466" t="s">
        <v>1399</v>
      </c>
      <c r="J10" s="549">
        <f>E10*E10*PI()/4</f>
        <v>2.5446900494077322E-4</v>
      </c>
      <c r="K10" s="548">
        <v>8.9999999999999993E-3</v>
      </c>
      <c r="L10" s="500">
        <v>2710</v>
      </c>
      <c r="M10" s="550">
        <v>1</v>
      </c>
      <c r="N10" s="501">
        <f>IF(J10="",D10*M10,D10*J10*K10*L10*M10)</f>
        <v>2.6067295928122926E-2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2.6067295928122926E-2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ht="28.8" x14ac:dyDescent="0.3">
      <c r="A14" s="184">
        <v>10</v>
      </c>
      <c r="B14" s="508" t="s">
        <v>589</v>
      </c>
      <c r="D14" s="495">
        <v>1.3</v>
      </c>
      <c r="E14" s="497" t="s">
        <v>556</v>
      </c>
      <c r="F14" s="496">
        <v>1</v>
      </c>
      <c r="G14" s="508" t="s">
        <v>2945</v>
      </c>
      <c r="H14" s="509">
        <f>1/6</f>
        <v>0.16666666666666666</v>
      </c>
      <c r="I14" s="510">
        <f>D14*F14*H14</f>
        <v>0.21666666666666667</v>
      </c>
      <c r="J14" s="478"/>
      <c r="K14" s="478"/>
      <c r="L14" s="478"/>
      <c r="M14" s="478"/>
      <c r="N14" s="478"/>
    </row>
    <row r="15" spans="1:14" x14ac:dyDescent="0.3">
      <c r="A15" s="184">
        <v>20</v>
      </c>
      <c r="B15" s="508" t="s">
        <v>609</v>
      </c>
      <c r="C15" s="508"/>
      <c r="D15" s="495">
        <v>0.04</v>
      </c>
      <c r="E15" s="497" t="s">
        <v>610</v>
      </c>
      <c r="F15" s="554">
        <v>1.43</v>
      </c>
      <c r="G15" s="509" t="s">
        <v>710</v>
      </c>
      <c r="H15" s="509">
        <v>1</v>
      </c>
      <c r="I15" s="510">
        <f>H15*F15*D15</f>
        <v>5.7200000000000001E-2</v>
      </c>
      <c r="J15" s="478"/>
      <c r="K15" s="478"/>
      <c r="L15" s="478"/>
      <c r="M15" s="478"/>
      <c r="N15" s="478"/>
    </row>
    <row r="16" spans="1:14" x14ac:dyDescent="0.3">
      <c r="A16" s="504"/>
      <c r="B16" s="504"/>
      <c r="C16" s="504"/>
      <c r="D16" s="504"/>
      <c r="E16" s="504"/>
      <c r="F16" s="504"/>
      <c r="G16" s="504"/>
      <c r="H16" s="372" t="s">
        <v>547</v>
      </c>
      <c r="I16" s="541">
        <f>SUM(I14:I15)</f>
        <v>0.2738666666666667</v>
      </c>
      <c r="J16" s="504"/>
      <c r="K16" s="504"/>
      <c r="L16" s="504"/>
      <c r="M16" s="504"/>
      <c r="N16" s="504"/>
    </row>
    <row r="17" spans="1:14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  <c r="L17" s="161"/>
      <c r="M17" s="161"/>
      <c r="N17" s="161"/>
    </row>
  </sheetData>
  <pageMargins left="0.7" right="0.7" top="0.75" bottom="0.75" header="0.3" footer="0.3"/>
  <pageSetup paperSize="9" scale="59" orientation="landscape" r:id="rId1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0"/>
  <sheetViews>
    <sheetView showGridLines="0" workbookViewId="0"/>
  </sheetViews>
  <sheetFormatPr defaultColWidth="11.5546875" defaultRowHeight="14.4" x14ac:dyDescent="0.3"/>
  <cols>
    <col min="1" max="1" width="13.6640625" customWidth="1"/>
    <col min="2" max="2" width="33.6640625" bestFit="1" customWidth="1"/>
    <col min="3" max="3" width="24.88671875" customWidth="1"/>
    <col min="4" max="4" width="14.109375" customWidth="1"/>
    <col min="7" max="7" width="13.109375" customWidth="1"/>
    <col min="8" max="8" width="14.88671875" customWidth="1"/>
    <col min="9" max="9" width="20.5546875" customWidth="1"/>
    <col min="10" max="10" width="14.5546875" customWidth="1"/>
    <col min="13" max="13" width="19.5546875" customWidth="1"/>
    <col min="14" max="14" width="16.664062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N11+I16</f>
        <v>3.6099992500000004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1</v>
      </c>
    </row>
    <row r="3" spans="1:14" x14ac:dyDescent="0.3">
      <c r="A3" s="343" t="s">
        <v>534</v>
      </c>
      <c r="B3" s="319" t="s">
        <v>1350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1355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3.6099992500000004</v>
      </c>
    </row>
    <row r="5" spans="1:14" x14ac:dyDescent="0.3">
      <c r="A5" s="343" t="s">
        <v>537</v>
      </c>
      <c r="B5" s="319" t="s">
        <v>1415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/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606</v>
      </c>
      <c r="C10" s="494" t="s">
        <v>1400</v>
      </c>
      <c r="D10" s="495">
        <v>2.25</v>
      </c>
      <c r="E10" s="496"/>
      <c r="F10" s="497"/>
      <c r="G10" s="496"/>
      <c r="H10" s="498"/>
      <c r="I10" s="466" t="s">
        <v>1401</v>
      </c>
      <c r="J10" s="549">
        <f>0.077*0.003</f>
        <v>2.31E-4</v>
      </c>
      <c r="K10" s="500">
        <v>0.185</v>
      </c>
      <c r="L10" s="500">
        <v>7800</v>
      </c>
      <c r="M10" s="550">
        <v>1</v>
      </c>
      <c r="N10" s="501">
        <f>IF(J10="",D10*M10,D10*J10*K10*L10*M10)</f>
        <v>0.74999925000000012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0.74999925000000012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s="555" customFormat="1" ht="28.8" x14ac:dyDescent="0.3">
      <c r="A14" s="184">
        <v>10</v>
      </c>
      <c r="B14" s="508" t="s">
        <v>589</v>
      </c>
      <c r="C14" s="508" t="s">
        <v>1402</v>
      </c>
      <c r="D14" s="495">
        <v>1.3</v>
      </c>
      <c r="E14" s="497" t="s">
        <v>556</v>
      </c>
      <c r="F14" s="496">
        <v>1</v>
      </c>
      <c r="G14" s="509"/>
      <c r="H14" s="509"/>
      <c r="I14" s="510">
        <f>F14*D14</f>
        <v>1.3</v>
      </c>
      <c r="J14" s="478"/>
      <c r="K14" s="478"/>
      <c r="L14" s="478"/>
      <c r="M14" s="478"/>
      <c r="N14" s="478"/>
    </row>
    <row r="15" spans="1:14" ht="28.8" x14ac:dyDescent="0.3">
      <c r="A15" s="184">
        <v>20</v>
      </c>
      <c r="B15" s="508" t="s">
        <v>591</v>
      </c>
      <c r="C15" s="508" t="s">
        <v>1416</v>
      </c>
      <c r="D15" s="495">
        <v>0.01</v>
      </c>
      <c r="E15" s="497" t="s">
        <v>593</v>
      </c>
      <c r="F15" s="496">
        <f>15+18.5*2</f>
        <v>52</v>
      </c>
      <c r="G15" s="509" t="s">
        <v>1281</v>
      </c>
      <c r="H15" s="509">
        <v>3</v>
      </c>
      <c r="I15" s="510">
        <f>H15*F15*D15</f>
        <v>1.56</v>
      </c>
      <c r="J15" s="478"/>
      <c r="K15" s="478"/>
      <c r="L15" s="478"/>
      <c r="M15" s="478"/>
      <c r="N15" s="478"/>
    </row>
    <row r="16" spans="1:14" x14ac:dyDescent="0.3">
      <c r="A16" s="504"/>
      <c r="B16" s="504"/>
      <c r="C16" s="504"/>
      <c r="D16" s="504"/>
      <c r="E16" s="504"/>
      <c r="F16" s="504"/>
      <c r="G16" s="504"/>
      <c r="H16" s="372" t="s">
        <v>547</v>
      </c>
      <c r="I16" s="541">
        <f>SUM(I14:I15)</f>
        <v>2.8600000000000003</v>
      </c>
      <c r="J16" s="504"/>
      <c r="K16" s="504"/>
      <c r="L16" s="504"/>
      <c r="M16" s="504"/>
      <c r="N16" s="504"/>
    </row>
    <row r="17" spans="1:14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  <c r="L17" s="161"/>
      <c r="M17" s="161"/>
      <c r="N17" s="161"/>
    </row>
    <row r="20" spans="1:14" x14ac:dyDescent="0.3">
      <c r="C20" s="478"/>
    </row>
  </sheetData>
  <pageMargins left="0.7" right="0.7" top="0.75" bottom="0.75" header="0.3" footer="0.3"/>
  <pageSetup paperSize="9" scale="56" orientation="landscape" r:id="rId1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9"/>
  <sheetViews>
    <sheetView showGridLines="0" workbookViewId="0"/>
  </sheetViews>
  <sheetFormatPr defaultColWidth="11.5546875" defaultRowHeight="14.4" x14ac:dyDescent="0.3"/>
  <cols>
    <col min="1" max="1" width="14" customWidth="1"/>
    <col min="2" max="2" width="33.6640625" bestFit="1" customWidth="1"/>
    <col min="3" max="3" width="22" customWidth="1"/>
    <col min="4" max="4" width="14.44140625" customWidth="1"/>
    <col min="7" max="7" width="14.44140625" customWidth="1"/>
    <col min="8" max="8" width="16" customWidth="1"/>
    <col min="9" max="9" width="15.109375" customWidth="1"/>
    <col min="10" max="10" width="14.33203125" customWidth="1"/>
    <col min="13" max="13" width="19.88671875" customWidth="1"/>
    <col min="14" max="14" width="15.44140625" customWidth="1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31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N11+I18</f>
        <v>8.9764547062499993</v>
      </c>
    </row>
    <row r="2" spans="1:14" x14ac:dyDescent="0.3">
      <c r="A2" s="343" t="s">
        <v>532</v>
      </c>
      <c r="B2" s="319" t="s">
        <v>780</v>
      </c>
      <c r="C2" s="556" t="s">
        <v>732</v>
      </c>
      <c r="D2" s="557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1</v>
      </c>
    </row>
    <row r="3" spans="1:14" x14ac:dyDescent="0.3">
      <c r="A3" s="343" t="s">
        <v>534</v>
      </c>
      <c r="B3" s="319" t="s">
        <v>1350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1356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8.9764547062499993</v>
      </c>
    </row>
    <row r="5" spans="1:14" x14ac:dyDescent="0.3">
      <c r="A5" s="343" t="s">
        <v>537</v>
      </c>
      <c r="B5" s="319" t="s">
        <v>1417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/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1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  <c r="N8" s="478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ht="28.8" x14ac:dyDescent="0.3">
      <c r="A10" s="184">
        <v>10</v>
      </c>
      <c r="B10" s="381" t="s">
        <v>606</v>
      </c>
      <c r="C10" s="494" t="s">
        <v>1403</v>
      </c>
      <c r="D10" s="495">
        <v>2.25</v>
      </c>
      <c r="E10" s="496"/>
      <c r="F10" s="497"/>
      <c r="G10" s="496"/>
      <c r="H10" s="498"/>
      <c r="I10" s="466" t="s">
        <v>1401</v>
      </c>
      <c r="J10" s="549">
        <f>0.077*0.003</f>
        <v>2.31E-4</v>
      </c>
      <c r="K10" s="500">
        <v>0.51749999999999996</v>
      </c>
      <c r="L10" s="500">
        <v>8010</v>
      </c>
      <c r="M10" s="550">
        <v>1</v>
      </c>
      <c r="N10" s="501">
        <f>IF(J10="",D10*M10,D10*J10*K10*L10*M10)</f>
        <v>2.1544547062500001</v>
      </c>
    </row>
    <row r="11" spans="1:14" x14ac:dyDescent="0.3">
      <c r="A11" s="504"/>
      <c r="B11" s="504"/>
      <c r="C11" s="504"/>
      <c r="D11" s="504"/>
      <c r="E11" s="504"/>
      <c r="F11" s="504"/>
      <c r="G11" s="504"/>
      <c r="H11" s="504"/>
      <c r="I11" s="504"/>
      <c r="J11" s="504"/>
      <c r="K11" s="504"/>
      <c r="L11" s="504"/>
      <c r="M11" s="372" t="s">
        <v>547</v>
      </c>
      <c r="N11" s="541">
        <f>SUM(N10:N10)</f>
        <v>2.1544547062500001</v>
      </c>
    </row>
    <row r="12" spans="1:14" x14ac:dyDescent="0.3">
      <c r="A12" s="478"/>
      <c r="B12" s="478"/>
      <c r="C12" s="478"/>
      <c r="D12" s="478"/>
      <c r="E12" s="478"/>
      <c r="F12" s="478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530" t="s">
        <v>544</v>
      </c>
      <c r="B13" s="531" t="s">
        <v>548</v>
      </c>
      <c r="C13" s="531" t="s">
        <v>549</v>
      </c>
      <c r="D13" s="531" t="s">
        <v>550</v>
      </c>
      <c r="E13" s="531" t="s">
        <v>551</v>
      </c>
      <c r="F13" s="531" t="s">
        <v>28</v>
      </c>
      <c r="G13" s="531" t="s">
        <v>552</v>
      </c>
      <c r="H13" s="531" t="s">
        <v>553</v>
      </c>
      <c r="I13" s="531" t="s">
        <v>547</v>
      </c>
      <c r="J13" s="504"/>
      <c r="K13" s="504"/>
      <c r="L13" s="504"/>
      <c r="M13" s="504"/>
      <c r="N13" s="504"/>
    </row>
    <row r="14" spans="1:14" s="555" customFormat="1" ht="28.8" x14ac:dyDescent="0.3">
      <c r="A14" s="184">
        <v>10</v>
      </c>
      <c r="B14" s="508" t="s">
        <v>589</v>
      </c>
      <c r="C14" s="508" t="s">
        <v>1402</v>
      </c>
      <c r="D14" s="495">
        <v>1.3</v>
      </c>
      <c r="E14" s="497" t="s">
        <v>556</v>
      </c>
      <c r="F14" s="496">
        <v>1</v>
      </c>
      <c r="G14" s="509"/>
      <c r="H14" s="509"/>
      <c r="I14" s="510">
        <f>F14*D14</f>
        <v>1.3</v>
      </c>
      <c r="J14" s="478"/>
      <c r="K14" s="478"/>
      <c r="L14" s="478"/>
      <c r="M14" s="478"/>
      <c r="N14" s="478"/>
    </row>
    <row r="15" spans="1:14" ht="28.8" x14ac:dyDescent="0.3">
      <c r="A15" s="184">
        <v>20</v>
      </c>
      <c r="B15" s="508" t="s">
        <v>591</v>
      </c>
      <c r="C15" s="508" t="s">
        <v>1404</v>
      </c>
      <c r="D15" s="495">
        <v>0.01</v>
      </c>
      <c r="E15" s="497" t="s">
        <v>593</v>
      </c>
      <c r="F15" s="496">
        <v>132.4</v>
      </c>
      <c r="G15" s="509" t="s">
        <v>1281</v>
      </c>
      <c r="H15" s="509">
        <v>3</v>
      </c>
      <c r="I15" s="510">
        <f>H15*F15*D15</f>
        <v>3.9720000000000004</v>
      </c>
      <c r="J15" s="478"/>
      <c r="K15" s="478"/>
      <c r="L15" s="478"/>
      <c r="M15" s="478"/>
      <c r="N15" s="478"/>
    </row>
    <row r="16" spans="1:14" x14ac:dyDescent="0.3">
      <c r="A16" s="184">
        <v>30</v>
      </c>
      <c r="B16" s="508" t="s">
        <v>702</v>
      </c>
      <c r="C16" s="508" t="s">
        <v>1405</v>
      </c>
      <c r="D16" s="495">
        <v>0.25</v>
      </c>
      <c r="E16" s="497" t="s">
        <v>704</v>
      </c>
      <c r="F16" s="496">
        <v>2</v>
      </c>
      <c r="G16" s="509"/>
      <c r="H16" s="509"/>
      <c r="I16" s="510">
        <f>F16*D16</f>
        <v>0.5</v>
      </c>
      <c r="J16" s="478"/>
      <c r="K16" s="478"/>
      <c r="L16" s="478"/>
      <c r="M16" s="478"/>
      <c r="N16" s="478"/>
    </row>
    <row r="17" spans="1:14" ht="28.8" x14ac:dyDescent="0.3">
      <c r="A17" s="184">
        <v>40</v>
      </c>
      <c r="B17" s="508" t="s">
        <v>791</v>
      </c>
      <c r="C17" s="508" t="s">
        <v>1406</v>
      </c>
      <c r="D17" s="495">
        <v>0.35</v>
      </c>
      <c r="E17" s="497" t="s">
        <v>843</v>
      </c>
      <c r="F17" s="496">
        <v>3</v>
      </c>
      <c r="G17" s="509"/>
      <c r="H17" s="509"/>
      <c r="I17" s="510">
        <f>F17*D17</f>
        <v>1.0499999999999998</v>
      </c>
      <c r="J17" s="478"/>
      <c r="K17" s="478"/>
      <c r="L17" s="478"/>
      <c r="M17" s="478"/>
      <c r="N17" s="478"/>
    </row>
    <row r="18" spans="1:14" x14ac:dyDescent="0.3">
      <c r="A18" s="504"/>
      <c r="B18" s="504"/>
      <c r="C18" s="504"/>
      <c r="D18" s="504"/>
      <c r="E18" s="504"/>
      <c r="F18" s="504"/>
      <c r="G18" s="504"/>
      <c r="H18" s="372" t="s">
        <v>547</v>
      </c>
      <c r="I18" s="541">
        <f>SUM(I14:I17)</f>
        <v>6.8220000000000001</v>
      </c>
      <c r="J18" s="504"/>
      <c r="K18" s="504"/>
      <c r="L18" s="504"/>
      <c r="M18" s="504"/>
      <c r="N18" s="504"/>
    </row>
    <row r="19" spans="1:14" ht="13.5" customHeigh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</sheetData>
  <hyperlinks>
    <hyperlink ref="D2" location="'Upper chain shield drawing'!A1" display="FileLink1"/>
  </hyperlinks>
  <pageMargins left="0.7" right="0.7" top="0.75" bottom="0.75" header="0.3" footer="0.3"/>
  <pageSetup paperSize="9" scale="58" orientation="landscape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96"/>
  <sheetViews>
    <sheetView showGridLines="0" workbookViewId="0"/>
  </sheetViews>
  <sheetFormatPr defaultColWidth="11.5546875" defaultRowHeight="14.4" x14ac:dyDescent="0.3"/>
  <cols>
    <col min="2" max="2" width="24" customWidth="1"/>
    <col min="3" max="3" width="18.44140625" customWidth="1"/>
    <col min="7" max="7" width="19.33203125" customWidth="1"/>
    <col min="13" max="13" width="15.3320312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N11+I16</f>
        <v>5.3782154600000007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2</v>
      </c>
    </row>
    <row r="3" spans="1:14" x14ac:dyDescent="0.3">
      <c r="A3" s="197" t="s">
        <v>534</v>
      </c>
      <c r="B3" t="s">
        <v>619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6" t="s">
        <v>38</v>
      </c>
      <c r="D4" s="197" t="s">
        <v>541</v>
      </c>
      <c r="J4" s="197" t="s">
        <v>538</v>
      </c>
      <c r="M4" s="197" t="s">
        <v>539</v>
      </c>
      <c r="N4" s="164">
        <f>N2*N1</f>
        <v>10.756430920000001</v>
      </c>
    </row>
    <row r="5" spans="1:14" x14ac:dyDescent="0.3">
      <c r="A5" s="197" t="s">
        <v>537</v>
      </c>
      <c r="B5" s="199" t="s">
        <v>48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200" t="s">
        <v>542</v>
      </c>
      <c r="B7" s="161" t="s">
        <v>580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s="211" customFormat="1" ht="28.8" x14ac:dyDescent="0.3">
      <c r="A10" s="183">
        <v>10</v>
      </c>
      <c r="B10" s="190" t="s">
        <v>586</v>
      </c>
      <c r="C10" s="184" t="s">
        <v>587</v>
      </c>
      <c r="D10" s="185">
        <v>1</v>
      </c>
      <c r="E10" s="183">
        <v>116</v>
      </c>
      <c r="F10" s="183" t="s">
        <v>573</v>
      </c>
      <c r="G10" s="183"/>
      <c r="H10" s="204"/>
      <c r="I10" s="205" t="s">
        <v>588</v>
      </c>
      <c r="J10" s="206">
        <f>(E10*10^-3)^2*3.14</f>
        <v>4.2251840000000006E-2</v>
      </c>
      <c r="K10" s="207">
        <v>4.4999999999999997E-3</v>
      </c>
      <c r="L10" s="208">
        <v>7000</v>
      </c>
      <c r="M10" s="209">
        <f>K10*J10*L10</f>
        <v>1.3309329600000002</v>
      </c>
      <c r="N10" s="210">
        <f>M10*D10</f>
        <v>1.3309329600000002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212" t="s">
        <v>547</v>
      </c>
      <c r="N11" s="213">
        <f>N10</f>
        <v>1.3309329600000002</v>
      </c>
    </row>
    <row r="13" spans="1:14" x14ac:dyDescent="0.3">
      <c r="A13" s="203" t="s">
        <v>544</v>
      </c>
      <c r="B13" s="203" t="s">
        <v>548</v>
      </c>
      <c r="C13" s="203" t="s">
        <v>549</v>
      </c>
      <c r="D13" s="203" t="s">
        <v>550</v>
      </c>
      <c r="E13" s="203" t="s">
        <v>551</v>
      </c>
      <c r="F13" s="203" t="s">
        <v>28</v>
      </c>
      <c r="G13" s="203" t="s">
        <v>552</v>
      </c>
      <c r="H13" s="203" t="s">
        <v>553</v>
      </c>
      <c r="I13" s="203" t="s">
        <v>547</v>
      </c>
      <c r="J13" s="178"/>
      <c r="K13" s="178"/>
      <c r="L13" s="178"/>
      <c r="M13" s="178"/>
      <c r="N13" s="178"/>
    </row>
    <row r="14" spans="1:14" ht="28.8" x14ac:dyDescent="0.3">
      <c r="A14" s="179">
        <v>10</v>
      </c>
      <c r="B14" s="180" t="s">
        <v>589</v>
      </c>
      <c r="C14" s="179" t="s">
        <v>590</v>
      </c>
      <c r="D14" s="170">
        <v>1.3</v>
      </c>
      <c r="E14" s="180" t="s">
        <v>556</v>
      </c>
      <c r="F14" s="179">
        <v>1</v>
      </c>
      <c r="G14" s="267" t="s">
        <v>2949</v>
      </c>
      <c r="H14" s="179">
        <v>0.5</v>
      </c>
      <c r="I14" s="214">
        <f>D14*H14</f>
        <v>0.65</v>
      </c>
    </row>
    <row r="15" spans="1:14" x14ac:dyDescent="0.3">
      <c r="A15" s="168">
        <v>20</v>
      </c>
      <c r="B15" s="180" t="s">
        <v>591</v>
      </c>
      <c r="C15" s="168" t="s">
        <v>592</v>
      </c>
      <c r="D15" s="170">
        <v>0.01</v>
      </c>
      <c r="E15" s="168" t="s">
        <v>593</v>
      </c>
      <c r="F15" s="215">
        <v>135.8913</v>
      </c>
      <c r="G15" s="180" t="s">
        <v>594</v>
      </c>
      <c r="H15" s="179">
        <v>2.5</v>
      </c>
      <c r="I15" s="170">
        <f>H15*F15*D15</f>
        <v>3.3972825000000002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216" t="s">
        <v>547</v>
      </c>
      <c r="I16" s="213">
        <f>I15+I14</f>
        <v>4.0472825000000006</v>
      </c>
      <c r="J16" s="178"/>
      <c r="K16" s="178"/>
      <c r="L16" s="178"/>
      <c r="M16" s="178"/>
      <c r="N16" s="178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  <row r="195" spans="1:8" x14ac:dyDescent="0.3">
      <c r="A195" s="161"/>
      <c r="B195" s="161"/>
      <c r="C195" s="161"/>
      <c r="D195" s="161"/>
      <c r="E195" s="161"/>
      <c r="F195" s="161"/>
      <c r="G195" s="161"/>
      <c r="H195" s="161"/>
    </row>
    <row r="196" spans="1:8" x14ac:dyDescent="0.3">
      <c r="A196" s="161"/>
      <c r="B196" s="161"/>
      <c r="C196" s="161"/>
      <c r="D196" s="161"/>
      <c r="E196" s="161"/>
      <c r="F196" s="161"/>
      <c r="G196" s="161"/>
      <c r="H196" s="161"/>
    </row>
  </sheetData>
  <pageMargins left="0.7" right="0.7" top="0.75" bottom="0.75" header="0.3" footer="0.3"/>
  <pageSetup paperSize="9" scale="70" fitToHeight="0" orientation="landscape" r:id="rId1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0000"/>
  </sheetPr>
  <dimension ref="A1"/>
  <sheetViews>
    <sheetView showGridLines="0" zoomScaleNormal="100" workbookViewId="0"/>
  </sheetViews>
  <sheetFormatPr defaultColWidth="11.5546875" defaultRowHeight="14.4" x14ac:dyDescent="0.3"/>
  <sheetData/>
  <pageMargins left="0.7" right="0.7" top="0.75" bottom="0.75" header="0.3" footer="0.3"/>
  <pageSetup paperSize="9" orientation="landscape" r:id="rId1"/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33CC"/>
    <pageSetUpPr fitToPage="1"/>
  </sheetPr>
  <dimension ref="A1:N26"/>
  <sheetViews>
    <sheetView showGridLines="0" workbookViewId="0"/>
  </sheetViews>
  <sheetFormatPr defaultColWidth="9.109375" defaultRowHeight="14.4" x14ac:dyDescent="0.3"/>
  <cols>
    <col min="1" max="1" width="13.44140625" style="161" customWidth="1"/>
    <col min="2" max="2" width="27.88671875" style="161" customWidth="1"/>
    <col min="3" max="3" width="28.33203125" style="161" customWidth="1"/>
    <col min="4" max="4" width="11.44140625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9.33203125" style="161" customWidth="1"/>
    <col min="9" max="9" width="17.6640625" style="161" customWidth="1"/>
    <col min="10" max="10" width="11.33203125" style="161" customWidth="1"/>
    <col min="11" max="11" width="9.44140625" style="161" customWidth="1"/>
    <col min="12" max="12" width="9.109375" style="161" customWidth="1"/>
    <col min="13" max="13" width="19.6640625" style="161" customWidth="1"/>
    <col min="14" max="14" width="11.6640625" style="161" customWidth="1"/>
    <col min="15" max="16384" width="9.109375" style="161"/>
  </cols>
  <sheetData>
    <row r="1" spans="1:14" x14ac:dyDescent="0.3">
      <c r="A1" s="566" t="s">
        <v>523</v>
      </c>
      <c r="B1" s="161" t="s">
        <v>524</v>
      </c>
      <c r="J1" s="566" t="s">
        <v>528</v>
      </c>
      <c r="K1" s="163">
        <v>81</v>
      </c>
      <c r="M1" s="566" t="s">
        <v>531</v>
      </c>
      <c r="N1" s="336">
        <f>E12+I26+N16+I22</f>
        <v>682.15193205842343</v>
      </c>
    </row>
    <row r="2" spans="1:14" x14ac:dyDescent="0.3">
      <c r="A2" s="566" t="s">
        <v>532</v>
      </c>
      <c r="B2" s="161" t="s">
        <v>1418</v>
      </c>
      <c r="M2" s="566" t="s">
        <v>533</v>
      </c>
      <c r="N2" s="165">
        <v>1</v>
      </c>
    </row>
    <row r="3" spans="1:14" x14ac:dyDescent="0.3">
      <c r="A3" s="566" t="s">
        <v>534</v>
      </c>
      <c r="B3" s="161" t="s">
        <v>186</v>
      </c>
      <c r="J3" s="566" t="s">
        <v>536</v>
      </c>
    </row>
    <row r="4" spans="1:14" x14ac:dyDescent="0.3">
      <c r="A4" s="566" t="s">
        <v>537</v>
      </c>
      <c r="B4" s="166" t="s">
        <v>185</v>
      </c>
      <c r="J4" s="566" t="s">
        <v>538</v>
      </c>
      <c r="M4" s="566" t="s">
        <v>539</v>
      </c>
      <c r="N4" s="336">
        <f>N1*N2</f>
        <v>682.15193205842343</v>
      </c>
    </row>
    <row r="5" spans="1:14" x14ac:dyDescent="0.3">
      <c r="A5" s="566" t="s">
        <v>540</v>
      </c>
      <c r="B5" s="161" t="s">
        <v>36</v>
      </c>
      <c r="J5" s="566" t="s">
        <v>541</v>
      </c>
    </row>
    <row r="6" spans="1:14" x14ac:dyDescent="0.3">
      <c r="A6" s="566" t="s">
        <v>542</v>
      </c>
      <c r="B6" s="161" t="s">
        <v>1419</v>
      </c>
    </row>
    <row r="8" spans="1:14" x14ac:dyDescent="0.3">
      <c r="A8" s="567" t="s">
        <v>544</v>
      </c>
      <c r="B8" s="567" t="s">
        <v>545</v>
      </c>
      <c r="C8" s="567" t="s">
        <v>546</v>
      </c>
      <c r="D8" s="567" t="s">
        <v>28</v>
      </c>
      <c r="E8" s="567" t="s">
        <v>547</v>
      </c>
    </row>
    <row r="9" spans="1:14" x14ac:dyDescent="0.3">
      <c r="A9" s="168">
        <v>10</v>
      </c>
      <c r="B9" s="168" t="s">
        <v>188</v>
      </c>
      <c r="C9" s="336">
        <v>18.62856</v>
      </c>
      <c r="D9" s="168">
        <v>1</v>
      </c>
      <c r="E9" s="323">
        <f>C9*D9</f>
        <v>18.62856</v>
      </c>
    </row>
    <row r="10" spans="1:14" ht="16.2" customHeight="1" x14ac:dyDescent="0.3">
      <c r="A10" s="168">
        <v>20</v>
      </c>
      <c r="B10" s="184" t="s">
        <v>190</v>
      </c>
      <c r="C10" s="323">
        <v>330.3921330584235</v>
      </c>
      <c r="D10" s="168">
        <v>1</v>
      </c>
      <c r="E10" s="323">
        <f>C10*D10</f>
        <v>330.3921330584235</v>
      </c>
    </row>
    <row r="11" spans="1:14" x14ac:dyDescent="0.3">
      <c r="A11" s="168">
        <v>30</v>
      </c>
      <c r="B11" s="218" t="s">
        <v>192</v>
      </c>
      <c r="C11" s="323">
        <v>2.6581195000000002</v>
      </c>
      <c r="D11" s="168">
        <v>2</v>
      </c>
      <c r="E11" s="323">
        <f>C11*D11</f>
        <v>5.3162390000000004</v>
      </c>
    </row>
    <row r="12" spans="1:14" x14ac:dyDescent="0.3">
      <c r="D12" s="568" t="s">
        <v>547</v>
      </c>
      <c r="E12" s="569">
        <f>SUM(E9:E11)</f>
        <v>354.33693205842349</v>
      </c>
    </row>
    <row r="14" spans="1:14" s="178" customFormat="1" x14ac:dyDescent="0.3">
      <c r="A14" s="567" t="s">
        <v>544</v>
      </c>
      <c r="B14" s="567" t="s">
        <v>581</v>
      </c>
      <c r="C14" s="567" t="s">
        <v>549</v>
      </c>
      <c r="D14" s="567" t="s">
        <v>550</v>
      </c>
      <c r="E14" s="567" t="s">
        <v>567</v>
      </c>
      <c r="F14" s="567" t="s">
        <v>568</v>
      </c>
      <c r="G14" s="567" t="s">
        <v>569</v>
      </c>
      <c r="H14" s="567" t="s">
        <v>570</v>
      </c>
      <c r="I14" s="567" t="s">
        <v>582</v>
      </c>
      <c r="J14" s="567" t="s">
        <v>583</v>
      </c>
      <c r="K14" s="567" t="s">
        <v>584</v>
      </c>
      <c r="L14" s="567" t="s">
        <v>585</v>
      </c>
      <c r="M14" s="567" t="s">
        <v>28</v>
      </c>
      <c r="N14" s="567" t="s">
        <v>547</v>
      </c>
    </row>
    <row r="15" spans="1:14" x14ac:dyDescent="0.3">
      <c r="A15" s="168">
        <v>10</v>
      </c>
      <c r="B15" s="168" t="s">
        <v>625</v>
      </c>
      <c r="C15" s="168" t="s">
        <v>1420</v>
      </c>
      <c r="D15" s="323">
        <v>10</v>
      </c>
      <c r="E15" s="168">
        <v>3.6</v>
      </c>
      <c r="F15" s="168" t="s">
        <v>627</v>
      </c>
      <c r="G15" s="168"/>
      <c r="H15" s="219"/>
      <c r="I15" s="220"/>
      <c r="J15" s="221"/>
      <c r="K15" s="219"/>
      <c r="L15" s="219"/>
      <c r="M15" s="168">
        <v>3.6</v>
      </c>
      <c r="N15" s="322">
        <f>IF(J15="",D15*M15,D15*J15*K15*L15*M15)</f>
        <v>36</v>
      </c>
    </row>
    <row r="16" spans="1:14" s="178" customFormat="1" x14ac:dyDescent="0.3">
      <c r="M16" s="568" t="s">
        <v>547</v>
      </c>
      <c r="N16" s="569">
        <f>SUM(N15:N15)</f>
        <v>36</v>
      </c>
    </row>
    <row r="18" spans="1:9" s="178" customFormat="1" x14ac:dyDescent="0.3">
      <c r="A18" s="567" t="s">
        <v>544</v>
      </c>
      <c r="B18" s="567" t="s">
        <v>548</v>
      </c>
      <c r="C18" s="567" t="s">
        <v>549</v>
      </c>
      <c r="D18" s="567" t="s">
        <v>550</v>
      </c>
      <c r="E18" s="567" t="s">
        <v>551</v>
      </c>
      <c r="F18" s="567" t="s">
        <v>28</v>
      </c>
      <c r="G18" s="567" t="s">
        <v>552</v>
      </c>
      <c r="H18" s="567" t="s">
        <v>553</v>
      </c>
      <c r="I18" s="567" t="s">
        <v>547</v>
      </c>
    </row>
    <row r="19" spans="1:9" x14ac:dyDescent="0.3">
      <c r="A19" s="168">
        <v>10</v>
      </c>
      <c r="B19" s="171" t="s">
        <v>838</v>
      </c>
      <c r="C19" s="171" t="s">
        <v>1421</v>
      </c>
      <c r="D19" s="323">
        <v>0.38</v>
      </c>
      <c r="E19" s="168" t="s">
        <v>593</v>
      </c>
      <c r="F19" s="168">
        <v>562</v>
      </c>
      <c r="G19" s="168"/>
      <c r="H19" s="168">
        <v>1</v>
      </c>
      <c r="I19" s="323">
        <f>D19*F19*H19</f>
        <v>213.56</v>
      </c>
    </row>
    <row r="20" spans="1:9" x14ac:dyDescent="0.3">
      <c r="A20" s="168">
        <v>20</v>
      </c>
      <c r="B20" s="171" t="s">
        <v>650</v>
      </c>
      <c r="C20" s="171" t="s">
        <v>1422</v>
      </c>
      <c r="D20" s="243">
        <v>0.15</v>
      </c>
      <c r="E20" s="168" t="s">
        <v>593</v>
      </c>
      <c r="F20" s="168">
        <v>15.7</v>
      </c>
      <c r="G20" s="168"/>
      <c r="H20" s="168">
        <v>1</v>
      </c>
      <c r="I20" s="323">
        <f>D20*F20*H20</f>
        <v>2.355</v>
      </c>
    </row>
    <row r="21" spans="1:9" x14ac:dyDescent="0.3">
      <c r="A21" s="168">
        <v>30</v>
      </c>
      <c r="B21" s="171" t="s">
        <v>762</v>
      </c>
      <c r="C21" s="171" t="s">
        <v>1423</v>
      </c>
      <c r="D21" s="323">
        <v>5.25</v>
      </c>
      <c r="E21" s="168" t="s">
        <v>627</v>
      </c>
      <c r="F21" s="168">
        <v>3.6</v>
      </c>
      <c r="G21" s="168"/>
      <c r="H21" s="168">
        <v>1</v>
      </c>
      <c r="I21" s="323">
        <f>D21*F21*H21</f>
        <v>18.900000000000002</v>
      </c>
    </row>
    <row r="22" spans="1:9" s="178" customFormat="1" x14ac:dyDescent="0.3">
      <c r="H22" s="568" t="s">
        <v>547</v>
      </c>
      <c r="I22" s="569">
        <f>SUM(I19:I21)</f>
        <v>234.815</v>
      </c>
    </row>
    <row r="24" spans="1:9" s="178" customFormat="1" x14ac:dyDescent="0.3">
      <c r="A24" s="567" t="s">
        <v>544</v>
      </c>
      <c r="B24" s="567" t="s">
        <v>6</v>
      </c>
      <c r="C24" s="567" t="s">
        <v>549</v>
      </c>
      <c r="D24" s="567" t="s">
        <v>550</v>
      </c>
      <c r="E24" s="567" t="s">
        <v>551</v>
      </c>
      <c r="F24" s="567" t="s">
        <v>28</v>
      </c>
      <c r="G24" s="567" t="s">
        <v>691</v>
      </c>
      <c r="H24" s="567" t="s">
        <v>736</v>
      </c>
      <c r="I24" s="567" t="s">
        <v>547</v>
      </c>
    </row>
    <row r="25" spans="1:9" x14ac:dyDescent="0.3">
      <c r="A25" s="168">
        <v>10</v>
      </c>
      <c r="B25" s="179" t="s">
        <v>693</v>
      </c>
      <c r="C25" s="168" t="s">
        <v>1424</v>
      </c>
      <c r="D25" s="323">
        <v>500</v>
      </c>
      <c r="E25" s="168" t="s">
        <v>695</v>
      </c>
      <c r="F25" s="168">
        <v>342</v>
      </c>
      <c r="G25" s="168">
        <v>3000</v>
      </c>
      <c r="H25" s="168">
        <v>1</v>
      </c>
      <c r="I25" s="322">
        <f>D25*F25/G25*H25</f>
        <v>57</v>
      </c>
    </row>
    <row r="26" spans="1:9" s="178" customFormat="1" x14ac:dyDescent="0.3">
      <c r="H26" s="568" t="s">
        <v>547</v>
      </c>
      <c r="I26" s="569">
        <f>SUM(I25:I25)</f>
        <v>57</v>
      </c>
    </row>
  </sheetData>
  <pageMargins left="0.5" right="0.5" top="0.75" bottom="0.75" header="0.3" footer="0.3"/>
  <pageSetup paperSize="9" scale="64" orientation="landscape" r:id="rId1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8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3.88671875" style="161" customWidth="1"/>
    <col min="3" max="3" width="25.109375" style="161" customWidth="1"/>
    <col min="4" max="4" width="13.5546875" style="161" bestFit="1" customWidth="1"/>
    <col min="5" max="5" width="10.33203125" style="161" customWidth="1"/>
    <col min="6" max="6" width="12" style="161" bestFit="1" customWidth="1"/>
    <col min="7" max="7" width="11.44140625" style="161" customWidth="1"/>
    <col min="8" max="8" width="12.33203125" style="161" customWidth="1"/>
    <col min="9" max="9" width="21.6640625" style="161" customWidth="1"/>
    <col min="10" max="10" width="13.88671875" style="161" bestFit="1" customWidth="1"/>
    <col min="11" max="11" width="11" style="161" customWidth="1"/>
    <col min="12" max="12" width="13.33203125" style="161" customWidth="1"/>
    <col min="13" max="13" width="17.109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18.62856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186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188</v>
      </c>
      <c r="D4" s="570" t="s">
        <v>541</v>
      </c>
      <c r="J4" s="570" t="s">
        <v>538</v>
      </c>
      <c r="M4" s="570" t="s">
        <v>539</v>
      </c>
      <c r="N4" s="336">
        <f>N1*N2</f>
        <v>18.62856</v>
      </c>
    </row>
    <row r="5" spans="1:14" x14ac:dyDescent="0.3">
      <c r="A5" s="570" t="s">
        <v>537</v>
      </c>
      <c r="B5" s="199" t="s">
        <v>187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x14ac:dyDescent="0.3">
      <c r="A10" s="168">
        <v>10</v>
      </c>
      <c r="B10" s="168" t="s">
        <v>1308</v>
      </c>
      <c r="C10" s="168" t="s">
        <v>1425</v>
      </c>
      <c r="D10" s="323">
        <v>2.25</v>
      </c>
      <c r="E10" s="316">
        <f>J10*K10*L10</f>
        <v>5.0793600000000003</v>
      </c>
      <c r="F10" s="168" t="s">
        <v>856</v>
      </c>
      <c r="G10" s="168"/>
      <c r="H10" s="219"/>
      <c r="I10" s="220" t="s">
        <v>1426</v>
      </c>
      <c r="J10" s="227">
        <f>0.000176</f>
        <v>1.76E-4</v>
      </c>
      <c r="K10" s="221">
        <v>3.7</v>
      </c>
      <c r="L10" s="573">
        <v>7800</v>
      </c>
      <c r="M10" s="221">
        <v>1</v>
      </c>
      <c r="N10" s="322">
        <f>IF(J10="",D10*M10,D10*J10*K10*L10*M10)</f>
        <v>11.428560000000001</v>
      </c>
    </row>
    <row r="11" spans="1:14" s="178" customFormat="1" x14ac:dyDescent="0.3">
      <c r="M11" s="574" t="s">
        <v>547</v>
      </c>
      <c r="N11" s="575">
        <f>SUM(N10:N10)</f>
        <v>11.428560000000001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315" t="s">
        <v>835</v>
      </c>
      <c r="C14" s="171" t="s">
        <v>1427</v>
      </c>
      <c r="D14" s="323">
        <v>0.75</v>
      </c>
      <c r="E14" s="168" t="s">
        <v>704</v>
      </c>
      <c r="F14" s="168">
        <v>5</v>
      </c>
      <c r="G14" s="168"/>
      <c r="H14" s="168"/>
      <c r="I14" s="323">
        <f>IF('FR 01001'!$H14&lt;&gt;"",'FR 01001'!$D14*'FR 01001'!$F14*'FR 01001'!$H14,'FR 01001'!$D14*'FR 01001'!$F14)</f>
        <v>3.75</v>
      </c>
    </row>
    <row r="15" spans="1:14" x14ac:dyDescent="0.3">
      <c r="A15" s="168">
        <v>20</v>
      </c>
      <c r="B15" s="171" t="s">
        <v>668</v>
      </c>
      <c r="C15" s="171" t="s">
        <v>1428</v>
      </c>
      <c r="D15" s="323">
        <v>0.15</v>
      </c>
      <c r="E15" s="168" t="s">
        <v>593</v>
      </c>
      <c r="F15" s="168">
        <v>3</v>
      </c>
      <c r="G15" s="168"/>
      <c r="H15" s="168"/>
      <c r="I15" s="322">
        <f>IF('FR 01001'!$H15&lt;&gt;"",'FR 01001'!$D15*'FR 01001'!$F15*'FR 01001'!$H15,'FR 01001'!$D15*'FR 01001'!$F15)</f>
        <v>0.44999999999999996</v>
      </c>
    </row>
    <row r="16" spans="1:14" ht="27" customHeight="1" x14ac:dyDescent="0.3">
      <c r="A16" s="168">
        <v>30</v>
      </c>
      <c r="B16" s="193" t="s">
        <v>836</v>
      </c>
      <c r="C16" s="171"/>
      <c r="D16" s="323">
        <v>0.75</v>
      </c>
      <c r="E16" s="168" t="s">
        <v>837</v>
      </c>
      <c r="F16" s="168">
        <v>4</v>
      </c>
      <c r="G16" s="168"/>
      <c r="H16" s="168"/>
      <c r="I16" s="322">
        <f>IF('FR 01001'!$H16&lt;&gt;"",'FR 01001'!$D16*'FR 01001'!$F16*'FR 01001'!$H16,'FR 01001'!$D16*'FR 01001'!$F16)</f>
        <v>3</v>
      </c>
    </row>
    <row r="17" spans="8:9" s="178" customFormat="1" x14ac:dyDescent="0.3">
      <c r="H17" s="574" t="s">
        <v>547</v>
      </c>
      <c r="I17" s="575">
        <f>SUM(I14:I16)</f>
        <v>7.2</v>
      </c>
    </row>
    <row r="18" spans="8:9" x14ac:dyDescent="0.3">
      <c r="H18" s="326"/>
      <c r="I18" s="325"/>
    </row>
  </sheetData>
  <pageMargins left="0.5" right="0.5" top="0.75" bottom="0.75" header="0.3" footer="0.3"/>
  <pageSetup paperSize="9" scale="62" orientation="landscape" r:id="rId1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1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8.109375" style="161" customWidth="1"/>
    <col min="3" max="3" width="23.33203125" style="161" customWidth="1"/>
    <col min="4" max="4" width="12.109375" style="161" customWidth="1"/>
    <col min="5" max="5" width="9.33203125" style="161" customWidth="1"/>
    <col min="6" max="6" width="12" style="161" bestFit="1" customWidth="1"/>
    <col min="7" max="7" width="15.6640625" style="161" customWidth="1"/>
    <col min="8" max="8" width="10.44140625" style="161" customWidth="1"/>
    <col min="9" max="9" width="21.88671875" style="161" customWidth="1"/>
    <col min="10" max="10" width="11.109375" style="161" customWidth="1"/>
    <col min="11" max="11" width="7.6640625" style="161" customWidth="1"/>
    <col min="12" max="12" width="14.109375" style="161" customWidth="1"/>
    <col min="13" max="13" width="19.109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N14+I20</f>
        <v>330.39213305842355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186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190</v>
      </c>
      <c r="D4" s="570" t="s">
        <v>541</v>
      </c>
      <c r="J4" s="570" t="s">
        <v>538</v>
      </c>
      <c r="M4" s="570" t="s">
        <v>539</v>
      </c>
      <c r="N4" s="336">
        <f>N1*N2</f>
        <v>330.39213305842355</v>
      </c>
    </row>
    <row r="5" spans="1:14" x14ac:dyDescent="0.3">
      <c r="A5" s="570" t="s">
        <v>537</v>
      </c>
      <c r="B5" s="199" t="s">
        <v>189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43.2" x14ac:dyDescent="0.3">
      <c r="A10" s="168">
        <v>10</v>
      </c>
      <c r="B10" s="168" t="s">
        <v>1308</v>
      </c>
      <c r="C10" s="184" t="s">
        <v>1429</v>
      </c>
      <c r="D10" s="323">
        <v>2.25</v>
      </c>
      <c r="E10" s="316">
        <f>J10*K10*L10</f>
        <v>2.0071708799999999</v>
      </c>
      <c r="F10" s="168" t="s">
        <v>856</v>
      </c>
      <c r="G10" s="168"/>
      <c r="H10" s="219"/>
      <c r="I10" s="220" t="s">
        <v>1426</v>
      </c>
      <c r="J10" s="227">
        <f>0.000176</f>
        <v>1.76E-4</v>
      </c>
      <c r="K10" s="221">
        <v>1.4621</v>
      </c>
      <c r="L10" s="221">
        <v>7800</v>
      </c>
      <c r="M10" s="221">
        <v>1</v>
      </c>
      <c r="N10" s="322">
        <f>IF(J10="",D10*M10,D10*J10*K10*L10*M10)</f>
        <v>4.5161344799999998</v>
      </c>
    </row>
    <row r="11" spans="1:14" ht="46.5" customHeight="1" x14ac:dyDescent="0.3">
      <c r="A11" s="168">
        <v>20</v>
      </c>
      <c r="B11" s="168" t="s">
        <v>1308</v>
      </c>
      <c r="C11" s="184" t="s">
        <v>1430</v>
      </c>
      <c r="D11" s="323">
        <v>2.25</v>
      </c>
      <c r="E11" s="316">
        <f>J11*K11*L11</f>
        <v>12.705695096333962</v>
      </c>
      <c r="F11" s="168" t="s">
        <v>856</v>
      </c>
      <c r="G11" s="168"/>
      <c r="H11" s="219"/>
      <c r="I11" s="220" t="s">
        <v>1431</v>
      </c>
      <c r="J11" s="227">
        <f>0.000134303085940964</f>
        <v>1.3430308594096401E-4</v>
      </c>
      <c r="K11" s="221">
        <v>12.1288</v>
      </c>
      <c r="L11" s="221">
        <v>7800</v>
      </c>
      <c r="M11" s="221">
        <v>1</v>
      </c>
      <c r="N11" s="322">
        <f>IF(J11="",D11*M11,D11*J11*K11*L11*M11)</f>
        <v>28.587813966751416</v>
      </c>
    </row>
    <row r="12" spans="1:14" ht="62.4" customHeight="1" x14ac:dyDescent="0.3">
      <c r="A12" s="168">
        <v>30</v>
      </c>
      <c r="B12" s="168" t="s">
        <v>1308</v>
      </c>
      <c r="C12" s="184" t="s">
        <v>1432</v>
      </c>
      <c r="D12" s="323">
        <v>2.25</v>
      </c>
      <c r="E12" s="316">
        <f>J12*K12*L12</f>
        <v>11.728417061619064</v>
      </c>
      <c r="F12" s="168" t="s">
        <v>856</v>
      </c>
      <c r="G12" s="168"/>
      <c r="H12" s="219"/>
      <c r="I12" s="220" t="s">
        <v>1433</v>
      </c>
      <c r="J12" s="227">
        <f>0.00011074114103904</f>
        <v>1.1074114103904E-4</v>
      </c>
      <c r="K12" s="221">
        <v>13.577999999999999</v>
      </c>
      <c r="L12" s="221">
        <v>7800</v>
      </c>
      <c r="M12" s="221">
        <v>1</v>
      </c>
      <c r="N12" s="322">
        <f>IF(J12="",D12*M12,D12*J12*K12*L12*M12)</f>
        <v>26.388938388642895</v>
      </c>
    </row>
    <row r="13" spans="1:14" x14ac:dyDescent="0.3">
      <c r="A13" s="168">
        <v>40</v>
      </c>
      <c r="B13" s="168" t="s">
        <v>1308</v>
      </c>
      <c r="C13" s="168" t="s">
        <v>1434</v>
      </c>
      <c r="D13" s="323">
        <v>2.25</v>
      </c>
      <c r="E13" s="316">
        <f>J13*K13*L13</f>
        <v>9.8218872102352179</v>
      </c>
      <c r="F13" s="168" t="s">
        <v>856</v>
      </c>
      <c r="G13" s="168"/>
      <c r="H13" s="219"/>
      <c r="I13" s="220" t="s">
        <v>1435</v>
      </c>
      <c r="J13" s="227">
        <f>0.0000871791961371168</f>
        <v>8.7179196137116802E-5</v>
      </c>
      <c r="K13" s="221">
        <v>14.444000000000001</v>
      </c>
      <c r="L13" s="221">
        <v>7800</v>
      </c>
      <c r="M13" s="221">
        <v>1</v>
      </c>
      <c r="N13" s="322">
        <f>IF(J13="",D13*M13,D13*J13*K13*L13*M13)</f>
        <v>22.09924622302924</v>
      </c>
    </row>
    <row r="14" spans="1:14" s="178" customFormat="1" x14ac:dyDescent="0.3">
      <c r="M14" s="574" t="s">
        <v>547</v>
      </c>
      <c r="N14" s="575">
        <f>SUM(N10:N13)</f>
        <v>81.592133058423556</v>
      </c>
    </row>
    <row r="16" spans="1:14" s="178" customFormat="1" x14ac:dyDescent="0.3">
      <c r="A16" s="576" t="s">
        <v>544</v>
      </c>
      <c r="B16" s="576" t="s">
        <v>548</v>
      </c>
      <c r="C16" s="576" t="s">
        <v>549</v>
      </c>
      <c r="D16" s="576" t="s">
        <v>550</v>
      </c>
      <c r="E16" s="576" t="s">
        <v>551</v>
      </c>
      <c r="F16" s="576" t="s">
        <v>28</v>
      </c>
      <c r="G16" s="576" t="s">
        <v>552</v>
      </c>
      <c r="H16" s="576" t="s">
        <v>553</v>
      </c>
      <c r="I16" s="576" t="s">
        <v>547</v>
      </c>
    </row>
    <row r="17" spans="1:9" ht="28.8" x14ac:dyDescent="0.3">
      <c r="A17" s="184">
        <v>10</v>
      </c>
      <c r="B17" s="180" t="s">
        <v>589</v>
      </c>
      <c r="C17" s="193" t="s">
        <v>1035</v>
      </c>
      <c r="D17" s="362">
        <v>1.3</v>
      </c>
      <c r="E17" s="184" t="s">
        <v>551</v>
      </c>
      <c r="F17" s="184">
        <v>1</v>
      </c>
      <c r="G17" s="184"/>
      <c r="H17" s="184"/>
      <c r="I17" s="322">
        <f>IF('FR 01002'!$H17&lt;&gt;"",'FR 01002'!$D17*'FR 01002'!$F17*'FR 01002'!$H17,'FR 01002'!$D17*'FR 01002'!$F17)</f>
        <v>1.3</v>
      </c>
    </row>
    <row r="18" spans="1:9" ht="18.600000000000001" customHeight="1" x14ac:dyDescent="0.3">
      <c r="A18" s="184">
        <v>20</v>
      </c>
      <c r="B18" s="193" t="s">
        <v>591</v>
      </c>
      <c r="C18" s="193" t="s">
        <v>1436</v>
      </c>
      <c r="D18" s="362">
        <v>0.01</v>
      </c>
      <c r="E18" s="184" t="s">
        <v>593</v>
      </c>
      <c r="F18" s="184">
        <v>2700</v>
      </c>
      <c r="G18" s="180" t="s">
        <v>598</v>
      </c>
      <c r="H18" s="184">
        <v>3</v>
      </c>
      <c r="I18" s="322">
        <f>IF('FR 01002'!$H18&lt;&gt;"",'FR 01002'!$D18*'FR 01002'!$F18*'FR 01002'!$H18,'FR 01002'!$D18*'FR 01002'!$F18)</f>
        <v>81</v>
      </c>
    </row>
    <row r="19" spans="1:9" ht="43.2" x14ac:dyDescent="0.3">
      <c r="A19" s="184">
        <v>30</v>
      </c>
      <c r="B19" s="180" t="s">
        <v>836</v>
      </c>
      <c r="C19" s="193"/>
      <c r="D19" s="362">
        <v>0.75</v>
      </c>
      <c r="E19" s="184" t="s">
        <v>837</v>
      </c>
      <c r="F19" s="184">
        <v>222</v>
      </c>
      <c r="G19" s="184"/>
      <c r="H19" s="184"/>
      <c r="I19" s="322">
        <f>IF('FR 01002'!$H19&lt;&gt;"",'FR 01002'!$D19*'FR 01002'!$F19*'FR 01002'!$H19,'FR 01002'!$D19*'FR 01002'!$F19)</f>
        <v>166.5</v>
      </c>
    </row>
    <row r="20" spans="1:9" s="178" customFormat="1" x14ac:dyDescent="0.3">
      <c r="A20" s="278"/>
      <c r="B20" s="278"/>
      <c r="C20" s="278"/>
      <c r="D20" s="278"/>
      <c r="E20" s="278"/>
      <c r="F20" s="278"/>
      <c r="G20" s="278"/>
      <c r="H20" s="577" t="s">
        <v>547</v>
      </c>
      <c r="I20" s="575">
        <f>SUM(I17:I19)</f>
        <v>248.8</v>
      </c>
    </row>
    <row r="21" spans="1:9" x14ac:dyDescent="0.3">
      <c r="H21" s="326"/>
      <c r="I21" s="325"/>
    </row>
  </sheetData>
  <pageMargins left="0.5" right="0.5" top="0.75" bottom="0.75" header="0.3" footer="0.3"/>
  <pageSetup paperSize="9" scale="65" orientation="landscape" r:id="rId1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0.88671875" style="161" customWidth="1"/>
    <col min="3" max="3" width="20.44140625" style="161" customWidth="1"/>
    <col min="4" max="4" width="13.5546875" style="161" bestFit="1" customWidth="1"/>
    <col min="5" max="5" width="10.88671875" style="161" customWidth="1"/>
    <col min="6" max="6" width="12" style="161" bestFit="1" customWidth="1"/>
    <col min="7" max="7" width="10.109375" style="161" bestFit="1" customWidth="1"/>
    <col min="8" max="8" width="10.33203125" style="161" customWidth="1"/>
    <col min="9" max="9" width="21.88671875" style="161" customWidth="1"/>
    <col min="10" max="10" width="10.109375" style="161" customWidth="1"/>
    <col min="11" max="11" width="10.44140625" style="161" bestFit="1" customWidth="1"/>
    <col min="12" max="12" width="11.33203125" style="161" bestFit="1" customWidth="1"/>
    <col min="13" max="13" width="19.332031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N11+I16</f>
        <v>2.6581195000000002</v>
      </c>
    </row>
    <row r="2" spans="1:14" x14ac:dyDescent="0.3">
      <c r="A2" s="570" t="s">
        <v>532</v>
      </c>
      <c r="B2" s="161" t="s">
        <v>1418</v>
      </c>
      <c r="C2" s="359" t="s">
        <v>732</v>
      </c>
      <c r="D2" s="58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186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1437</v>
      </c>
      <c r="D4" s="570" t="s">
        <v>541</v>
      </c>
      <c r="J4" s="570" t="s">
        <v>538</v>
      </c>
      <c r="M4" s="570" t="s">
        <v>539</v>
      </c>
      <c r="N4" s="336">
        <f>N1*N2</f>
        <v>5.3162390000000004</v>
      </c>
    </row>
    <row r="5" spans="1:14" x14ac:dyDescent="0.3">
      <c r="A5" s="570" t="s">
        <v>537</v>
      </c>
      <c r="B5" s="199" t="s">
        <v>191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1308</v>
      </c>
      <c r="C10" s="184" t="s">
        <v>1438</v>
      </c>
      <c r="D10" s="323">
        <v>2.25</v>
      </c>
      <c r="E10" s="316">
        <f>J10*K10*L10</f>
        <v>8.4942000000000004E-2</v>
      </c>
      <c r="F10" s="168" t="s">
        <v>856</v>
      </c>
      <c r="G10" s="168"/>
      <c r="H10" s="219"/>
      <c r="I10" s="269" t="s">
        <v>1439</v>
      </c>
      <c r="J10" s="227">
        <f>33*0.000066</f>
        <v>2.1780000000000002E-3</v>
      </c>
      <c r="K10" s="227">
        <f>0.005</f>
        <v>5.0000000000000001E-3</v>
      </c>
      <c r="L10" s="578">
        <v>7800</v>
      </c>
      <c r="M10" s="168">
        <v>1</v>
      </c>
      <c r="N10" s="322">
        <f>IF(J10="",D10*M10,D10*J10*K10*L10*M10)</f>
        <v>0.1911195</v>
      </c>
    </row>
    <row r="11" spans="1:14" s="178" customFormat="1" x14ac:dyDescent="0.3">
      <c r="M11" s="574" t="s">
        <v>547</v>
      </c>
      <c r="N11" s="579">
        <f>SUM(N10:N10)</f>
        <v>0.1911195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ht="34.5" customHeight="1" x14ac:dyDescent="0.3">
      <c r="A14" s="168">
        <v>10</v>
      </c>
      <c r="B14" s="315" t="s">
        <v>589</v>
      </c>
      <c r="C14" s="193" t="s">
        <v>1035</v>
      </c>
      <c r="D14" s="323">
        <v>1.3</v>
      </c>
      <c r="E14" s="168" t="s">
        <v>551</v>
      </c>
      <c r="F14" s="168">
        <v>1</v>
      </c>
      <c r="G14" s="168"/>
      <c r="H14" s="168"/>
      <c r="I14" s="323">
        <f>IF('FR 01003'!$H14&lt;&gt;"",'FR 01003'!$D14*'FR 01003'!$F14*'FR 01003'!$H14,'FR 01003'!$D14*'FR 01003'!$F14)</f>
        <v>1.3</v>
      </c>
    </row>
    <row r="15" spans="1:14" ht="28.8" x14ac:dyDescent="0.3">
      <c r="A15" s="168">
        <v>20</v>
      </c>
      <c r="B15" s="171" t="s">
        <v>591</v>
      </c>
      <c r="C15" s="171" t="s">
        <v>700</v>
      </c>
      <c r="D15" s="323">
        <v>0.01</v>
      </c>
      <c r="E15" s="168" t="s">
        <v>593</v>
      </c>
      <c r="F15" s="168">
        <v>38.9</v>
      </c>
      <c r="G15" s="180" t="s">
        <v>598</v>
      </c>
      <c r="H15" s="168">
        <v>3</v>
      </c>
      <c r="I15" s="322">
        <f>IF('FR 01003'!$H15&lt;&gt;"",'FR 01003'!$D15*'FR 01003'!$F15*'FR 01003'!$H15,'FR 01003'!$D15*'FR 01003'!$F15)</f>
        <v>1.167</v>
      </c>
    </row>
    <row r="16" spans="1:14" s="178" customFormat="1" x14ac:dyDescent="0.3">
      <c r="A16" s="278"/>
      <c r="B16" s="278"/>
      <c r="C16" s="278"/>
      <c r="D16" s="278"/>
      <c r="E16" s="278"/>
      <c r="F16" s="278"/>
      <c r="G16" s="278"/>
      <c r="H16" s="577" t="s">
        <v>547</v>
      </c>
      <c r="I16" s="579">
        <f>SUM(I14:I15)</f>
        <v>2.4670000000000001</v>
      </c>
    </row>
    <row r="17" spans="8:9" x14ac:dyDescent="0.3">
      <c r="H17" s="326"/>
      <c r="I17" s="325"/>
    </row>
  </sheetData>
  <hyperlinks>
    <hyperlink ref="D2" location="'Jacking Point Tab Drawing'!A1" display="FileLink1"/>
  </hyperlinks>
  <pageMargins left="0.5" right="0.5" top="0.75" bottom="0.75" header="0.3" footer="0.3"/>
  <pageSetup paperSize="9" scale="67" orientation="landscape" r:id="rId1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33CC"/>
    <pageSetUpPr fitToPage="1"/>
  </sheetPr>
  <dimension ref="A1:N29"/>
  <sheetViews>
    <sheetView showGridLines="0" workbookViewId="0"/>
  </sheetViews>
  <sheetFormatPr defaultColWidth="9.109375" defaultRowHeight="14.4" x14ac:dyDescent="0.3"/>
  <cols>
    <col min="1" max="1" width="12" style="161" customWidth="1"/>
    <col min="2" max="2" width="27.109375" style="161" customWidth="1"/>
    <col min="3" max="3" width="33.44140625" style="161" customWidth="1"/>
    <col min="4" max="4" width="11.44140625" style="161" bestFit="1" customWidth="1"/>
    <col min="5" max="5" width="12.33203125" style="161" customWidth="1"/>
    <col min="6" max="6" width="11.6640625" style="161" customWidth="1"/>
    <col min="7" max="7" width="10.88671875" style="161" customWidth="1"/>
    <col min="8" max="8" width="20.5546875" style="161" customWidth="1"/>
    <col min="9" max="9" width="17.6640625" style="161" customWidth="1"/>
    <col min="10" max="10" width="13.33203125" style="161" customWidth="1"/>
    <col min="11" max="11" width="9.44140625" style="161" bestFit="1" customWidth="1"/>
    <col min="12" max="12" width="9.33203125" style="161" bestFit="1" customWidth="1"/>
    <col min="13" max="13" width="18.6640625" style="161" customWidth="1"/>
    <col min="14" max="14" width="11.6640625" style="161" customWidth="1"/>
    <col min="15" max="16384" width="9.109375" style="161"/>
  </cols>
  <sheetData>
    <row r="1" spans="1:14" x14ac:dyDescent="0.3">
      <c r="A1" s="566" t="s">
        <v>523</v>
      </c>
      <c r="B1" s="161" t="s">
        <v>524</v>
      </c>
      <c r="J1" s="566" t="s">
        <v>528</v>
      </c>
      <c r="K1" s="163">
        <v>81</v>
      </c>
      <c r="M1" s="566" t="s">
        <v>531</v>
      </c>
      <c r="N1" s="336">
        <f>E11+I19+J25+I29</f>
        <v>85.266607333333326</v>
      </c>
    </row>
    <row r="2" spans="1:14" x14ac:dyDescent="0.3">
      <c r="A2" s="566" t="s">
        <v>532</v>
      </c>
      <c r="B2" s="161" t="s">
        <v>1418</v>
      </c>
      <c r="M2" s="566" t="s">
        <v>533</v>
      </c>
      <c r="N2" s="165">
        <v>1</v>
      </c>
    </row>
    <row r="3" spans="1:14" x14ac:dyDescent="0.3">
      <c r="A3" s="566" t="s">
        <v>534</v>
      </c>
      <c r="B3" s="161" t="s">
        <v>194</v>
      </c>
      <c r="J3" s="566" t="s">
        <v>536</v>
      </c>
    </row>
    <row r="4" spans="1:14" x14ac:dyDescent="0.3">
      <c r="A4" s="566" t="s">
        <v>537</v>
      </c>
      <c r="B4" s="166" t="s">
        <v>1440</v>
      </c>
      <c r="J4" s="566" t="s">
        <v>538</v>
      </c>
      <c r="M4" s="581" t="s">
        <v>539</v>
      </c>
      <c r="N4" s="336">
        <f>N1*N2</f>
        <v>85.266607333333326</v>
      </c>
    </row>
    <row r="5" spans="1:14" x14ac:dyDescent="0.3">
      <c r="A5" s="566" t="s">
        <v>540</v>
      </c>
      <c r="B5" s="161" t="s">
        <v>36</v>
      </c>
      <c r="J5" s="566" t="s">
        <v>541</v>
      </c>
    </row>
    <row r="6" spans="1:14" x14ac:dyDescent="0.3">
      <c r="A6" s="566" t="s">
        <v>542</v>
      </c>
      <c r="B6" s="161" t="s">
        <v>1441</v>
      </c>
    </row>
    <row r="8" spans="1:14" x14ac:dyDescent="0.3">
      <c r="A8" s="567" t="s">
        <v>544</v>
      </c>
      <c r="B8" s="567" t="s">
        <v>545</v>
      </c>
      <c r="C8" s="567" t="s">
        <v>546</v>
      </c>
      <c r="D8" s="567" t="s">
        <v>28</v>
      </c>
      <c r="E8" s="567" t="s">
        <v>547</v>
      </c>
    </row>
    <row r="9" spans="1:14" x14ac:dyDescent="0.3">
      <c r="A9" s="168">
        <v>10</v>
      </c>
      <c r="B9" s="168" t="s">
        <v>196</v>
      </c>
      <c r="C9" s="323">
        <f>'FR 02001'!N1</f>
        <v>45.5762249</v>
      </c>
      <c r="D9" s="168">
        <v>1</v>
      </c>
      <c r="E9" s="323">
        <v>45.58</v>
      </c>
    </row>
    <row r="10" spans="1:14" x14ac:dyDescent="0.3">
      <c r="A10" s="168">
        <v>20</v>
      </c>
      <c r="B10" s="168" t="s">
        <v>198</v>
      </c>
      <c r="C10" s="323">
        <f>'FR 02002'!N4</f>
        <v>7.2867739999999994</v>
      </c>
      <c r="D10" s="168">
        <v>1</v>
      </c>
      <c r="E10" s="323">
        <f>C10*D10</f>
        <v>7.2867739999999994</v>
      </c>
    </row>
    <row r="11" spans="1:14" x14ac:dyDescent="0.3">
      <c r="D11" s="568" t="s">
        <v>547</v>
      </c>
      <c r="E11" s="569">
        <f>SUM(E9:E10)</f>
        <v>52.866773999999999</v>
      </c>
    </row>
    <row r="13" spans="1:14" s="178" customFormat="1" x14ac:dyDescent="0.3">
      <c r="A13" s="567" t="s">
        <v>544</v>
      </c>
      <c r="B13" s="567" t="s">
        <v>548</v>
      </c>
      <c r="C13" s="567" t="s">
        <v>549</v>
      </c>
      <c r="D13" s="567" t="s">
        <v>550</v>
      </c>
      <c r="E13" s="567" t="s">
        <v>551</v>
      </c>
      <c r="F13" s="567" t="s">
        <v>28</v>
      </c>
      <c r="G13" s="567" t="s">
        <v>552</v>
      </c>
      <c r="H13" s="567" t="s">
        <v>553</v>
      </c>
      <c r="I13" s="567" t="s">
        <v>547</v>
      </c>
    </row>
    <row r="14" spans="1:14" x14ac:dyDescent="0.3">
      <c r="A14" s="168">
        <v>10</v>
      </c>
      <c r="B14" s="171" t="s">
        <v>650</v>
      </c>
      <c r="C14" s="171" t="s">
        <v>1442</v>
      </c>
      <c r="D14" s="323">
        <v>0.15</v>
      </c>
      <c r="E14" s="168" t="s">
        <v>593</v>
      </c>
      <c r="F14" s="168">
        <v>8</v>
      </c>
      <c r="G14" s="168"/>
      <c r="H14" s="168">
        <v>1</v>
      </c>
      <c r="I14" s="323">
        <f>D14*F14*H14</f>
        <v>1.2</v>
      </c>
    </row>
    <row r="15" spans="1:14" x14ac:dyDescent="0.3">
      <c r="A15" s="168">
        <v>20</v>
      </c>
      <c r="B15" s="315" t="s">
        <v>954</v>
      </c>
      <c r="C15" s="161" t="s">
        <v>1443</v>
      </c>
      <c r="D15" s="403">
        <v>0.02</v>
      </c>
      <c r="E15" s="315" t="s">
        <v>852</v>
      </c>
      <c r="F15" s="168">
        <v>1079.2</v>
      </c>
      <c r="G15" s="168"/>
      <c r="H15" s="168">
        <v>1</v>
      </c>
      <c r="I15" s="323">
        <f>D15*F15*H15</f>
        <v>21.584</v>
      </c>
    </row>
    <row r="16" spans="1:14" ht="15" customHeight="1" x14ac:dyDescent="0.3">
      <c r="A16" s="168">
        <v>30</v>
      </c>
      <c r="B16" s="180" t="s">
        <v>557</v>
      </c>
      <c r="C16" s="193" t="s">
        <v>1444</v>
      </c>
      <c r="D16" s="243">
        <v>6.25E-2</v>
      </c>
      <c r="E16" s="180" t="s">
        <v>556</v>
      </c>
      <c r="F16" s="168">
        <v>1</v>
      </c>
      <c r="G16" s="168"/>
      <c r="H16" s="168">
        <v>1</v>
      </c>
      <c r="I16" s="323">
        <f>D16*F16*H16</f>
        <v>6.25E-2</v>
      </c>
    </row>
    <row r="17" spans="1:10" x14ac:dyDescent="0.3">
      <c r="A17" s="168">
        <v>40</v>
      </c>
      <c r="B17" s="171" t="s">
        <v>559</v>
      </c>
      <c r="C17" s="171" t="s">
        <v>1445</v>
      </c>
      <c r="D17" s="243">
        <v>0.75</v>
      </c>
      <c r="E17" s="180" t="s">
        <v>556</v>
      </c>
      <c r="F17" s="168">
        <v>6</v>
      </c>
      <c r="G17" s="168"/>
      <c r="H17" s="168">
        <v>1</v>
      </c>
      <c r="I17" s="323">
        <f>D17*F17*H17</f>
        <v>4.5</v>
      </c>
    </row>
    <row r="18" spans="1:10" x14ac:dyDescent="0.3">
      <c r="A18" s="168">
        <v>50</v>
      </c>
      <c r="B18" s="171" t="s">
        <v>616</v>
      </c>
      <c r="C18" s="171" t="s">
        <v>1445</v>
      </c>
      <c r="D18" s="243">
        <v>0.25</v>
      </c>
      <c r="E18" s="180" t="s">
        <v>556</v>
      </c>
      <c r="F18" s="168">
        <v>6</v>
      </c>
      <c r="G18" s="168"/>
      <c r="H18" s="168">
        <v>1</v>
      </c>
      <c r="I18" s="323">
        <f>D18*F18*H18</f>
        <v>1.5</v>
      </c>
    </row>
    <row r="19" spans="1:10" s="178" customFormat="1" x14ac:dyDescent="0.3">
      <c r="H19" s="568" t="s">
        <v>547</v>
      </c>
      <c r="I19" s="569">
        <f>SUM(I14:I18)</f>
        <v>28.846499999999999</v>
      </c>
    </row>
    <row r="21" spans="1:10" s="178" customFormat="1" x14ac:dyDescent="0.3">
      <c r="A21" s="567" t="s">
        <v>544</v>
      </c>
      <c r="B21" s="567" t="s">
        <v>566</v>
      </c>
      <c r="C21" s="567" t="s">
        <v>549</v>
      </c>
      <c r="D21" s="567" t="s">
        <v>550</v>
      </c>
      <c r="E21" s="567" t="s">
        <v>567</v>
      </c>
      <c r="F21" s="567" t="s">
        <v>568</v>
      </c>
      <c r="G21" s="567" t="s">
        <v>569</v>
      </c>
      <c r="H21" s="567" t="s">
        <v>570</v>
      </c>
      <c r="I21" s="567" t="s">
        <v>28</v>
      </c>
      <c r="J21" s="567" t="s">
        <v>547</v>
      </c>
    </row>
    <row r="22" spans="1:10" x14ac:dyDescent="0.3">
      <c r="A22" s="168">
        <v>10</v>
      </c>
      <c r="B22" s="168" t="s">
        <v>684</v>
      </c>
      <c r="C22" s="168" t="s">
        <v>194</v>
      </c>
      <c r="D22" s="323">
        <v>0.31</v>
      </c>
      <c r="E22" s="168">
        <v>8</v>
      </c>
      <c r="F22" s="245" t="s">
        <v>573</v>
      </c>
      <c r="G22" s="168">
        <v>68</v>
      </c>
      <c r="H22" s="171" t="s">
        <v>573</v>
      </c>
      <c r="I22" s="327">
        <v>6</v>
      </c>
      <c r="J22" s="323">
        <f>D22*I22</f>
        <v>1.8599999999999999</v>
      </c>
    </row>
    <row r="23" spans="1:10" x14ac:dyDescent="0.3">
      <c r="A23" s="168">
        <v>20</v>
      </c>
      <c r="B23" s="168" t="s">
        <v>618</v>
      </c>
      <c r="C23" s="168" t="s">
        <v>194</v>
      </c>
      <c r="D23" s="323">
        <v>0.04</v>
      </c>
      <c r="E23" s="168">
        <v>8</v>
      </c>
      <c r="F23" s="168" t="s">
        <v>573</v>
      </c>
      <c r="G23" s="168"/>
      <c r="H23" s="219"/>
      <c r="I23" s="327">
        <v>6</v>
      </c>
      <c r="J23" s="323">
        <f>D23*I23</f>
        <v>0.24</v>
      </c>
    </row>
    <row r="24" spans="1:10" x14ac:dyDescent="0.3">
      <c r="A24" s="168">
        <v>30</v>
      </c>
      <c r="B24" s="168" t="s">
        <v>574</v>
      </c>
      <c r="C24" s="168" t="s">
        <v>194</v>
      </c>
      <c r="D24" s="323">
        <v>0.01</v>
      </c>
      <c r="E24" s="168"/>
      <c r="F24" s="245"/>
      <c r="G24" s="168"/>
      <c r="H24" s="171"/>
      <c r="I24" s="327">
        <v>12</v>
      </c>
      <c r="J24" s="323">
        <f>D24*I24</f>
        <v>0.12</v>
      </c>
    </row>
    <row r="25" spans="1:10" s="178" customFormat="1" x14ac:dyDescent="0.3">
      <c r="I25" s="568" t="s">
        <v>547</v>
      </c>
      <c r="J25" s="569">
        <f>SUM(J22:J24)</f>
        <v>2.2199999999999998</v>
      </c>
    </row>
    <row r="26" spans="1:10" x14ac:dyDescent="0.3">
      <c r="H26" s="326"/>
      <c r="I26" s="325"/>
    </row>
    <row r="27" spans="1:10" s="178" customFormat="1" x14ac:dyDescent="0.3">
      <c r="A27" s="567" t="s">
        <v>544</v>
      </c>
      <c r="B27" s="567" t="s">
        <v>6</v>
      </c>
      <c r="C27" s="567" t="s">
        <v>549</v>
      </c>
      <c r="D27" s="567" t="s">
        <v>550</v>
      </c>
      <c r="E27" s="567" t="s">
        <v>551</v>
      </c>
      <c r="F27" s="567" t="s">
        <v>28</v>
      </c>
      <c r="G27" s="567" t="s">
        <v>691</v>
      </c>
      <c r="H27" s="567" t="s">
        <v>736</v>
      </c>
      <c r="I27" s="567" t="s">
        <v>547</v>
      </c>
    </row>
    <row r="28" spans="1:10" x14ac:dyDescent="0.3">
      <c r="A28" s="168">
        <v>10</v>
      </c>
      <c r="B28" s="168" t="s">
        <v>693</v>
      </c>
      <c r="C28" s="168" t="s">
        <v>198</v>
      </c>
      <c r="D28" s="323">
        <v>500</v>
      </c>
      <c r="E28" s="168" t="s">
        <v>695</v>
      </c>
      <c r="F28" s="168">
        <v>8</v>
      </c>
      <c r="G28" s="168">
        <v>3000</v>
      </c>
      <c r="H28" s="168">
        <v>1</v>
      </c>
      <c r="I28" s="322">
        <f>D28*F28/G28*H28</f>
        <v>1.3333333333333333</v>
      </c>
    </row>
    <row r="29" spans="1:10" s="178" customFormat="1" x14ac:dyDescent="0.3">
      <c r="H29" s="568" t="s">
        <v>547</v>
      </c>
      <c r="I29" s="569">
        <f>SUM(I28:I28)</f>
        <v>1.3333333333333333</v>
      </c>
    </row>
  </sheetData>
  <pageMargins left="0.5" right="0.5" top="0.75" bottom="0.75" header="0.3" footer="0.3"/>
  <pageSetup paperSize="9" scale="61" fitToHeight="0" orientation="landscape" r:id="rId1"/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3" style="161" customWidth="1"/>
    <col min="3" max="3" width="23" style="161" customWidth="1"/>
    <col min="4" max="4" width="13.5546875" style="161" bestFit="1" customWidth="1"/>
    <col min="5" max="5" width="11.33203125" style="161" customWidth="1"/>
    <col min="6" max="6" width="12" style="161" bestFit="1" customWidth="1"/>
    <col min="7" max="7" width="11" style="161" customWidth="1"/>
    <col min="8" max="8" width="13.88671875" style="161" bestFit="1" customWidth="1"/>
    <col min="9" max="9" width="19.66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332031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N14+I25</f>
        <v>45.5762249</v>
      </c>
    </row>
    <row r="2" spans="1:14" x14ac:dyDescent="0.3">
      <c r="A2" s="570" t="s">
        <v>532</v>
      </c>
      <c r="B2" s="161" t="s">
        <v>1418</v>
      </c>
      <c r="C2" s="359" t="s">
        <v>732</v>
      </c>
      <c r="D2" s="58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6" t="s">
        <v>194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1472</v>
      </c>
      <c r="D4" s="570" t="s">
        <v>541</v>
      </c>
      <c r="J4" s="570" t="s">
        <v>538</v>
      </c>
      <c r="M4" s="570" t="s">
        <v>539</v>
      </c>
      <c r="N4" s="336">
        <f>N1*N2</f>
        <v>45.5762249</v>
      </c>
    </row>
    <row r="5" spans="1:14" x14ac:dyDescent="0.3">
      <c r="A5" s="570" t="s">
        <v>537</v>
      </c>
      <c r="B5" s="199" t="s">
        <v>195</v>
      </c>
      <c r="J5" s="570" t="s">
        <v>541</v>
      </c>
    </row>
    <row r="6" spans="1:14" x14ac:dyDescent="0.3">
      <c r="A6" s="570" t="s">
        <v>540</v>
      </c>
      <c r="B6" s="161" t="s">
        <v>36</v>
      </c>
      <c r="G6" s="256"/>
    </row>
    <row r="7" spans="1:14" x14ac:dyDescent="0.3">
      <c r="A7" s="570" t="s">
        <v>542</v>
      </c>
      <c r="B7" s="161" t="s">
        <v>1446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33" customHeight="1" x14ac:dyDescent="0.3">
      <c r="A10" s="168">
        <v>10</v>
      </c>
      <c r="B10" s="168" t="s">
        <v>1447</v>
      </c>
      <c r="C10" s="184" t="s">
        <v>1448</v>
      </c>
      <c r="D10" s="323">
        <v>15</v>
      </c>
      <c r="E10" s="582">
        <v>355</v>
      </c>
      <c r="F10" s="168" t="s">
        <v>573</v>
      </c>
      <c r="G10" s="168">
        <v>305</v>
      </c>
      <c r="H10" s="219" t="s">
        <v>573</v>
      </c>
      <c r="I10" s="269" t="s">
        <v>1449</v>
      </c>
      <c r="J10" s="227">
        <f>0.355*0.305</f>
        <v>0.108275</v>
      </c>
      <c r="K10" s="227">
        <f>0.254/3</f>
        <v>8.4666666666666668E-2</v>
      </c>
      <c r="L10" s="219">
        <v>45</v>
      </c>
      <c r="M10" s="168">
        <v>1</v>
      </c>
      <c r="N10" s="322">
        <f>IF(J10="",D10*M10,D10*J10*K10*L10*M10)</f>
        <v>6.1879162499999998</v>
      </c>
    </row>
    <row r="11" spans="1:14" ht="32.25" customHeight="1" x14ac:dyDescent="0.3">
      <c r="A11" s="168">
        <v>20</v>
      </c>
      <c r="B11" s="168" t="s">
        <v>1447</v>
      </c>
      <c r="C11" s="184" t="s">
        <v>1450</v>
      </c>
      <c r="D11" s="323">
        <v>15</v>
      </c>
      <c r="E11" s="582">
        <v>305</v>
      </c>
      <c r="F11" s="168" t="s">
        <v>573</v>
      </c>
      <c r="G11" s="168">
        <v>237</v>
      </c>
      <c r="H11" s="219" t="s">
        <v>573</v>
      </c>
      <c r="I11" s="269" t="s">
        <v>1451</v>
      </c>
      <c r="J11" s="227">
        <f>0.305*0.237</f>
        <v>7.2284999999999988E-2</v>
      </c>
      <c r="K11" s="227">
        <f>0.254/3</f>
        <v>8.4666666666666668E-2</v>
      </c>
      <c r="L11" s="219">
        <v>45</v>
      </c>
      <c r="M11" s="168">
        <v>1</v>
      </c>
      <c r="N11" s="322">
        <f>IF(J11="",D11*M11,D11*J11*K11*L11*M11)</f>
        <v>4.1310877499999998</v>
      </c>
    </row>
    <row r="12" spans="1:14" ht="28.8" x14ac:dyDescent="0.3">
      <c r="A12" s="168">
        <v>30</v>
      </c>
      <c r="B12" s="168" t="s">
        <v>1447</v>
      </c>
      <c r="C12" s="184" t="s">
        <v>1452</v>
      </c>
      <c r="D12" s="323">
        <v>15</v>
      </c>
      <c r="E12" s="582">
        <v>254</v>
      </c>
      <c r="F12" s="168" t="s">
        <v>573</v>
      </c>
      <c r="G12" s="168">
        <v>169</v>
      </c>
      <c r="H12" s="219" t="s">
        <v>573</v>
      </c>
      <c r="I12" s="269" t="s">
        <v>1453</v>
      </c>
      <c r="J12" s="227">
        <f>0.254*0.169</f>
        <v>4.2926000000000006E-2</v>
      </c>
      <c r="K12" s="227">
        <f>0.254/3</f>
        <v>8.4666666666666668E-2</v>
      </c>
      <c r="L12" s="219">
        <v>45</v>
      </c>
      <c r="M12" s="168">
        <v>1</v>
      </c>
      <c r="N12" s="322">
        <f>IF(J12="",D12*M12,D12*J12*K12*L12*M12)</f>
        <v>2.4532209000000003</v>
      </c>
    </row>
    <row r="13" spans="1:14" s="248" customFormat="1" ht="28.8" x14ac:dyDescent="0.3">
      <c r="A13" s="184">
        <v>40</v>
      </c>
      <c r="B13" s="190" t="s">
        <v>1024</v>
      </c>
      <c r="C13" s="184" t="s">
        <v>1454</v>
      </c>
      <c r="D13" s="362">
        <v>0</v>
      </c>
      <c r="E13" s="401"/>
      <c r="F13" s="184"/>
      <c r="G13" s="184"/>
      <c r="H13" s="268"/>
      <c r="I13" s="269"/>
      <c r="J13" s="274"/>
      <c r="K13" s="274"/>
      <c r="L13" s="268"/>
      <c r="M13" s="168"/>
      <c r="N13" s="363">
        <f>IF(J13="",D13*M13,D13*J13*K13*L13*M13)</f>
        <v>0</v>
      </c>
    </row>
    <row r="14" spans="1:14" s="178" customFormat="1" x14ac:dyDescent="0.3">
      <c r="M14" s="574" t="s">
        <v>547</v>
      </c>
      <c r="N14" s="575">
        <f>SUM(N10:N12)</f>
        <v>12.772224899999999</v>
      </c>
    </row>
    <row r="16" spans="1:14" s="178" customFormat="1" x14ac:dyDescent="0.3">
      <c r="A16" s="572" t="s">
        <v>544</v>
      </c>
      <c r="B16" s="572" t="s">
        <v>548</v>
      </c>
      <c r="C16" s="572" t="s">
        <v>549</v>
      </c>
      <c r="D16" s="572" t="s">
        <v>550</v>
      </c>
      <c r="E16" s="572" t="s">
        <v>551</v>
      </c>
      <c r="F16" s="572" t="s">
        <v>28</v>
      </c>
      <c r="G16" s="572" t="s">
        <v>552</v>
      </c>
      <c r="H16" s="572" t="s">
        <v>553</v>
      </c>
      <c r="I16" s="572" t="s">
        <v>547</v>
      </c>
    </row>
    <row r="17" spans="1:9" ht="28.8" x14ac:dyDescent="0.3">
      <c r="A17" s="168">
        <v>10</v>
      </c>
      <c r="B17" s="171" t="s">
        <v>1455</v>
      </c>
      <c r="C17" s="171" t="s">
        <v>1456</v>
      </c>
      <c r="D17" s="323">
        <v>1.4</v>
      </c>
      <c r="E17" s="168" t="s">
        <v>1457</v>
      </c>
      <c r="F17" s="168">
        <v>4</v>
      </c>
      <c r="G17" s="184" t="s">
        <v>1458</v>
      </c>
      <c r="H17" s="168">
        <v>0.33</v>
      </c>
      <c r="I17" s="323">
        <f>IF('FR 02001'!$H17&lt;&gt;"",'FR 02001'!$D17*'FR 02001'!$F17*'FR 02001'!$H17,'FR 02001'!$D17*'FR 02001'!$F17)</f>
        <v>1.8479999999999999</v>
      </c>
    </row>
    <row r="18" spans="1:9" x14ac:dyDescent="0.3">
      <c r="A18" s="168">
        <v>20</v>
      </c>
      <c r="B18" s="171" t="s">
        <v>954</v>
      </c>
      <c r="C18" s="193" t="s">
        <v>1459</v>
      </c>
      <c r="D18" s="323">
        <v>0.02</v>
      </c>
      <c r="E18" s="168" t="s">
        <v>852</v>
      </c>
      <c r="F18" s="168">
        <v>710</v>
      </c>
      <c r="G18" s="168"/>
      <c r="H18" s="168"/>
      <c r="I18" s="323">
        <f>IF('FR 02001'!$H18&lt;&gt;"",'FR 02001'!$D18*'FR 02001'!$F18*'FR 02001'!$H18,'FR 02001'!$D18*'FR 02001'!$F18)</f>
        <v>14.200000000000001</v>
      </c>
    </row>
    <row r="19" spans="1:9" ht="28.8" x14ac:dyDescent="0.3">
      <c r="A19" s="168">
        <v>30</v>
      </c>
      <c r="B19" s="171" t="s">
        <v>1455</v>
      </c>
      <c r="C19" s="193" t="s">
        <v>1460</v>
      </c>
      <c r="D19" s="323">
        <v>1.4</v>
      </c>
      <c r="E19" s="168" t="s">
        <v>1457</v>
      </c>
      <c r="F19" s="168">
        <v>4</v>
      </c>
      <c r="G19" s="184" t="s">
        <v>1458</v>
      </c>
      <c r="H19" s="168">
        <v>0.33</v>
      </c>
      <c r="I19" s="323">
        <f>IF('FR 02001'!$H19&lt;&gt;"",'FR 02001'!$D19*'FR 02001'!$F19*'FR 02001'!$H19,'FR 02001'!$D19*'FR 02001'!$F19)</f>
        <v>1.8479999999999999</v>
      </c>
    </row>
    <row r="20" spans="1:9" x14ac:dyDescent="0.3">
      <c r="A20" s="168">
        <v>40</v>
      </c>
      <c r="B20" s="171" t="s">
        <v>954</v>
      </c>
      <c r="C20" s="193" t="s">
        <v>1461</v>
      </c>
      <c r="D20" s="323">
        <v>0.02</v>
      </c>
      <c r="E20" s="168" t="s">
        <v>852</v>
      </c>
      <c r="F20" s="168">
        <v>430</v>
      </c>
      <c r="G20" s="168"/>
      <c r="H20" s="168"/>
      <c r="I20" s="323">
        <f>IF('FR 02001'!$H20&lt;&gt;"",'FR 02001'!$D20*'FR 02001'!$F20*'FR 02001'!$H20,'FR 02001'!$D20*'FR 02001'!$F20)</f>
        <v>8.6</v>
      </c>
    </row>
    <row r="21" spans="1:9" ht="28.8" x14ac:dyDescent="0.3">
      <c r="A21" s="168">
        <v>50</v>
      </c>
      <c r="B21" s="171" t="s">
        <v>1455</v>
      </c>
      <c r="C21" s="171" t="s">
        <v>1462</v>
      </c>
      <c r="D21" s="323">
        <v>1.4</v>
      </c>
      <c r="E21" s="168" t="s">
        <v>1457</v>
      </c>
      <c r="F21" s="168">
        <v>4</v>
      </c>
      <c r="G21" s="184" t="s">
        <v>1458</v>
      </c>
      <c r="H21" s="168">
        <v>0.33</v>
      </c>
      <c r="I21" s="323">
        <f>IF('FR 02001'!$H21&lt;&gt;"",'FR 02001'!$D21*'FR 02001'!$F21*'FR 02001'!$H21,'FR 02001'!$D21*'FR 02001'!$F21)</f>
        <v>1.8479999999999999</v>
      </c>
    </row>
    <row r="22" spans="1:9" x14ac:dyDescent="0.3">
      <c r="A22" s="168">
        <v>60</v>
      </c>
      <c r="B22" s="315" t="s">
        <v>749</v>
      </c>
      <c r="C22" s="583" t="s">
        <v>1463</v>
      </c>
      <c r="D22" s="387">
        <v>0.13</v>
      </c>
      <c r="E22" s="180" t="s">
        <v>556</v>
      </c>
      <c r="F22" s="168">
        <v>2</v>
      </c>
      <c r="G22" s="168"/>
      <c r="H22" s="168">
        <v>1</v>
      </c>
      <c r="I22" s="323">
        <f>IF('FR 02001'!$H22&lt;&gt;"",'FR 02001'!$D22*'FR 02001'!$F22*'FR 02001'!$H22,'FR 02001'!$D22*'FR 02001'!$F22)</f>
        <v>0.26</v>
      </c>
    </row>
    <row r="23" spans="1:9" x14ac:dyDescent="0.3">
      <c r="A23" s="168">
        <v>70</v>
      </c>
      <c r="B23" s="171" t="s">
        <v>791</v>
      </c>
      <c r="C23" s="171" t="s">
        <v>1464</v>
      </c>
      <c r="D23" s="323">
        <v>0.35</v>
      </c>
      <c r="E23" s="168" t="s">
        <v>843</v>
      </c>
      <c r="F23" s="168">
        <v>6</v>
      </c>
      <c r="G23" s="168"/>
      <c r="H23" s="168">
        <v>1</v>
      </c>
      <c r="I23" s="323">
        <f>IF('FR 02001'!$H23&lt;&gt;"",'FR 02001'!$D23*'FR 02001'!$F23*'FR 02001'!$H23,'FR 02001'!$D23*'FR 02001'!$F23)</f>
        <v>2.0999999999999996</v>
      </c>
    </row>
    <row r="24" spans="1:9" s="248" customFormat="1" ht="43.2" customHeight="1" x14ac:dyDescent="0.3">
      <c r="A24" s="184">
        <v>80</v>
      </c>
      <c r="B24" s="193" t="s">
        <v>791</v>
      </c>
      <c r="C24" s="193" t="s">
        <v>1465</v>
      </c>
      <c r="D24" s="362">
        <v>0.35</v>
      </c>
      <c r="E24" s="184" t="s">
        <v>843</v>
      </c>
      <c r="F24" s="184">
        <v>6</v>
      </c>
      <c r="G24" s="184"/>
      <c r="H24" s="184">
        <v>1</v>
      </c>
      <c r="I24" s="362">
        <f>IF('FR 02001'!$H24&lt;&gt;"",'FR 02001'!$D24*'FR 02001'!$F24*'FR 02001'!$H24,'FR 02001'!$D24*'FR 02001'!$F24)</f>
        <v>2.0999999999999996</v>
      </c>
    </row>
    <row r="25" spans="1:9" s="178" customFormat="1" x14ac:dyDescent="0.3">
      <c r="H25" s="574" t="s">
        <v>547</v>
      </c>
      <c r="I25" s="575">
        <f>SUM(I17:I24)</f>
        <v>32.804000000000002</v>
      </c>
    </row>
    <row r="26" spans="1:9" x14ac:dyDescent="0.3">
      <c r="H26" s="326"/>
      <c r="I26" s="325"/>
    </row>
    <row r="27" spans="1:9" x14ac:dyDescent="0.3">
      <c r="H27" s="326"/>
      <c r="I27" s="325"/>
    </row>
    <row r="80" spans="1:8" x14ac:dyDescent="0.3">
      <c r="A80" s="161" t="e">
        <f>#REF!</f>
        <v>#REF!</v>
      </c>
      <c r="B80" s="161" t="e">
        <f>#REF!</f>
        <v>#REF!</v>
      </c>
      <c r="C80" s="161" t="e">
        <f>#REF!</f>
        <v>#REF!</v>
      </c>
      <c r="D80" s="161" t="e">
        <f>#REF!</f>
        <v>#REF!</v>
      </c>
      <c r="E80" s="161" t="e">
        <f>#REF!</f>
        <v>#REF!</v>
      </c>
      <c r="F80" s="161" t="e">
        <f>#REF!</f>
        <v>#REF!</v>
      </c>
      <c r="G80" s="161" t="e">
        <f>#REF!</f>
        <v>#REF!</v>
      </c>
      <c r="H80" s="161" t="e">
        <f>#REF!</f>
        <v>#REF!</v>
      </c>
    </row>
    <row r="81" spans="1:8" x14ac:dyDescent="0.3">
      <c r="A81" s="161" t="e">
        <f>#REF!</f>
        <v>#REF!</v>
      </c>
      <c r="B81" s="161" t="e">
        <f>#REF!</f>
        <v>#REF!</v>
      </c>
      <c r="C81" s="161" t="e">
        <f>#REF!</f>
        <v>#REF!</v>
      </c>
      <c r="D81" s="161" t="e">
        <f>#REF!</f>
        <v>#REF!</v>
      </c>
      <c r="E81" s="161" t="e">
        <f>#REF!</f>
        <v>#REF!</v>
      </c>
      <c r="F81" s="161" t="e">
        <f>#REF!</f>
        <v>#REF!</v>
      </c>
      <c r="G81" s="161" t="e">
        <f>#REF!</f>
        <v>#REF!</v>
      </c>
      <c r="H81" s="161" t="e">
        <f>#REF!</f>
        <v>#REF!</v>
      </c>
    </row>
    <row r="82" spans="1:8" x14ac:dyDescent="0.3">
      <c r="A82" s="161" t="e">
        <f>#REF!</f>
        <v>#REF!</v>
      </c>
      <c r="B82" s="161" t="e">
        <f>#REF!</f>
        <v>#REF!</v>
      </c>
      <c r="C82" s="161" t="e">
        <f>#REF!</f>
        <v>#REF!</v>
      </c>
      <c r="D82" s="161" t="e">
        <f>#REF!</f>
        <v>#REF!</v>
      </c>
      <c r="E82" s="161" t="e">
        <f>#REF!</f>
        <v>#REF!</v>
      </c>
      <c r="F82" s="161" t="e">
        <f>#REF!</f>
        <v>#REF!</v>
      </c>
      <c r="G82" s="161" t="e">
        <f>#REF!</f>
        <v>#REF!</v>
      </c>
      <c r="H82" s="161" t="e">
        <f>#REF!</f>
        <v>#REF!</v>
      </c>
    </row>
    <row r="83" spans="1:8" x14ac:dyDescent="0.3">
      <c r="A83" s="161" t="e">
        <f>#REF!</f>
        <v>#REF!</v>
      </c>
      <c r="B83" s="161" t="e">
        <f>#REF!</f>
        <v>#REF!</v>
      </c>
      <c r="C83" s="161" t="e">
        <f>#REF!</f>
        <v>#REF!</v>
      </c>
      <c r="D83" s="161" t="e">
        <f>#REF!</f>
        <v>#REF!</v>
      </c>
      <c r="E83" s="161" t="e">
        <f>#REF!</f>
        <v>#REF!</v>
      </c>
      <c r="F83" s="161" t="e">
        <f>#REF!</f>
        <v>#REF!</v>
      </c>
      <c r="G83" s="161" t="e">
        <f>#REF!</f>
        <v>#REF!</v>
      </c>
      <c r="H83" s="161" t="e">
        <f>#REF!</f>
        <v>#REF!</v>
      </c>
    </row>
    <row r="84" spans="1:8" x14ac:dyDescent="0.3">
      <c r="A84" s="161" t="e">
        <f>#REF!</f>
        <v>#REF!</v>
      </c>
      <c r="B84" s="161" t="e">
        <f>#REF!</f>
        <v>#REF!</v>
      </c>
      <c r="C84" s="161" t="e">
        <f>#REF!</f>
        <v>#REF!</v>
      </c>
      <c r="D84" s="161" t="e">
        <f>#REF!</f>
        <v>#REF!</v>
      </c>
      <c r="E84" s="161" t="e">
        <f>#REF!</f>
        <v>#REF!</v>
      </c>
      <c r="F84" s="161" t="e">
        <f>#REF!</f>
        <v>#REF!</v>
      </c>
      <c r="G84" s="161" t="e">
        <f>#REF!</f>
        <v>#REF!</v>
      </c>
      <c r="H84" s="161" t="e">
        <f>#REF!</f>
        <v>#REF!</v>
      </c>
    </row>
    <row r="85" spans="1:8" x14ac:dyDescent="0.3">
      <c r="A85" s="161" t="e">
        <f>#REF!</f>
        <v>#REF!</v>
      </c>
      <c r="B85" s="161" t="e">
        <f>#REF!</f>
        <v>#REF!</v>
      </c>
      <c r="C85" s="161" t="e">
        <f>#REF!</f>
        <v>#REF!</v>
      </c>
      <c r="D85" s="161" t="e">
        <f>#REF!</f>
        <v>#REF!</v>
      </c>
      <c r="E85" s="161" t="e">
        <f>#REF!</f>
        <v>#REF!</v>
      </c>
      <c r="F85" s="161" t="e">
        <f>#REF!</f>
        <v>#REF!</v>
      </c>
      <c r="G85" s="161" t="e">
        <f>#REF!</f>
        <v>#REF!</v>
      </c>
      <c r="H85" s="161" t="e">
        <f>#REF!</f>
        <v>#REF!</v>
      </c>
    </row>
    <row r="86" spans="1:8" x14ac:dyDescent="0.3">
      <c r="A86" s="161" t="e">
        <f>#REF!</f>
        <v>#REF!</v>
      </c>
      <c r="B86" s="161" t="e">
        <f>#REF!</f>
        <v>#REF!</v>
      </c>
      <c r="C86" s="161" t="e">
        <f>#REF!</f>
        <v>#REF!</v>
      </c>
      <c r="D86" s="161" t="e">
        <f>#REF!</f>
        <v>#REF!</v>
      </c>
      <c r="E86" s="161" t="e">
        <f>#REF!</f>
        <v>#REF!</v>
      </c>
      <c r="F86" s="161" t="e">
        <f>#REF!</f>
        <v>#REF!</v>
      </c>
      <c r="G86" s="161" t="e">
        <f>#REF!</f>
        <v>#REF!</v>
      </c>
      <c r="H86" s="161" t="e">
        <f>#REF!</f>
        <v>#REF!</v>
      </c>
    </row>
    <row r="87" spans="1:8" x14ac:dyDescent="0.3">
      <c r="A87" s="161" t="e">
        <f>#REF!</f>
        <v>#REF!</v>
      </c>
      <c r="B87" s="161" t="e">
        <f>#REF!</f>
        <v>#REF!</v>
      </c>
      <c r="C87" s="161" t="e">
        <f>#REF!</f>
        <v>#REF!</v>
      </c>
      <c r="D87" s="161" t="e">
        <f>#REF!</f>
        <v>#REF!</v>
      </c>
      <c r="E87" s="161" t="e">
        <f>#REF!</f>
        <v>#REF!</v>
      </c>
      <c r="F87" s="161" t="e">
        <f>#REF!</f>
        <v>#REF!</v>
      </c>
      <c r="G87" s="161" t="e">
        <f>#REF!</f>
        <v>#REF!</v>
      </c>
      <c r="H87" s="161" t="e">
        <f>#REF!</f>
        <v>#REF!</v>
      </c>
    </row>
    <row r="88" spans="1:8" x14ac:dyDescent="0.3">
      <c r="A88" s="161" t="e">
        <f>#REF!</f>
        <v>#REF!</v>
      </c>
      <c r="B88" s="161" t="e">
        <f>#REF!</f>
        <v>#REF!</v>
      </c>
      <c r="C88" s="161" t="e">
        <f>#REF!</f>
        <v>#REF!</v>
      </c>
      <c r="D88" s="161" t="e">
        <f>#REF!</f>
        <v>#REF!</v>
      </c>
      <c r="E88" s="161" t="e">
        <f>#REF!</f>
        <v>#REF!</v>
      </c>
      <c r="F88" s="161" t="e">
        <f>#REF!</f>
        <v>#REF!</v>
      </c>
      <c r="G88" s="161" t="e">
        <f>#REF!</f>
        <v>#REF!</v>
      </c>
      <c r="H88" s="161" t="e">
        <f>#REF!</f>
        <v>#REF!</v>
      </c>
    </row>
    <row r="89" spans="1:8" x14ac:dyDescent="0.3">
      <c r="A89" s="161" t="e">
        <f>#REF!</f>
        <v>#REF!</v>
      </c>
      <c r="B89" s="161" t="e">
        <f>#REF!</f>
        <v>#REF!</v>
      </c>
      <c r="C89" s="161" t="e">
        <f>#REF!</f>
        <v>#REF!</v>
      </c>
      <c r="D89" s="161" t="e">
        <f>#REF!</f>
        <v>#REF!</v>
      </c>
      <c r="E89" s="161" t="e">
        <f>#REF!</f>
        <v>#REF!</v>
      </c>
      <c r="F89" s="161" t="e">
        <f>#REF!</f>
        <v>#REF!</v>
      </c>
      <c r="G89" s="161" t="e">
        <f>#REF!</f>
        <v>#REF!</v>
      </c>
      <c r="H89" s="161" t="e">
        <f>#REF!</f>
        <v>#REF!</v>
      </c>
    </row>
    <row r="90" spans="1:8" x14ac:dyDescent="0.3">
      <c r="A90" s="161" t="e">
        <f>#REF!</f>
        <v>#REF!</v>
      </c>
      <c r="B90" s="161" t="e">
        <f>#REF!</f>
        <v>#REF!</v>
      </c>
      <c r="C90" s="161" t="e">
        <f>#REF!</f>
        <v>#REF!</v>
      </c>
      <c r="D90" s="161" t="e">
        <f>#REF!</f>
        <v>#REF!</v>
      </c>
      <c r="E90" s="161" t="e">
        <f>#REF!</f>
        <v>#REF!</v>
      </c>
      <c r="F90" s="161" t="e">
        <f>#REF!</f>
        <v>#REF!</v>
      </c>
      <c r="G90" s="161" t="e">
        <f>#REF!</f>
        <v>#REF!</v>
      </c>
      <c r="H90" s="161" t="e">
        <f>#REF!</f>
        <v>#REF!</v>
      </c>
    </row>
    <row r="91" spans="1:8" x14ac:dyDescent="0.3">
      <c r="A91" s="161" t="e">
        <f>#REF!</f>
        <v>#REF!</v>
      </c>
      <c r="B91" s="161" t="e">
        <f>#REF!</f>
        <v>#REF!</v>
      </c>
      <c r="C91" s="161" t="e">
        <f>#REF!</f>
        <v>#REF!</v>
      </c>
      <c r="D91" s="161" t="e">
        <f>#REF!</f>
        <v>#REF!</v>
      </c>
      <c r="E91" s="161" t="e">
        <f>#REF!</f>
        <v>#REF!</v>
      </c>
      <c r="F91" s="161" t="e">
        <f>#REF!</f>
        <v>#REF!</v>
      </c>
      <c r="G91" s="161" t="e">
        <f>#REF!</f>
        <v>#REF!</v>
      </c>
      <c r="H91" s="161" t="e">
        <f>#REF!</f>
        <v>#REF!</v>
      </c>
    </row>
    <row r="92" spans="1:8" x14ac:dyDescent="0.3">
      <c r="A92" s="161" t="e">
        <f>#REF!</f>
        <v>#REF!</v>
      </c>
      <c r="B92" s="161" t="e">
        <f>#REF!</f>
        <v>#REF!</v>
      </c>
      <c r="C92" s="161" t="e">
        <f>#REF!</f>
        <v>#REF!</v>
      </c>
      <c r="D92" s="161" t="e">
        <f>#REF!</f>
        <v>#REF!</v>
      </c>
      <c r="E92" s="161" t="e">
        <f>#REF!</f>
        <v>#REF!</v>
      </c>
      <c r="F92" s="161" t="e">
        <f>#REF!</f>
        <v>#REF!</v>
      </c>
      <c r="G92" s="161" t="e">
        <f>#REF!</f>
        <v>#REF!</v>
      </c>
      <c r="H92" s="161" t="e">
        <f>#REF!</f>
        <v>#REF!</v>
      </c>
    </row>
    <row r="93" spans="1:8" x14ac:dyDescent="0.3">
      <c r="A93" s="161" t="e">
        <f>#REF!</f>
        <v>#REF!</v>
      </c>
      <c r="B93" s="161" t="e">
        <f>#REF!</f>
        <v>#REF!</v>
      </c>
      <c r="C93" s="161" t="e">
        <f>#REF!</f>
        <v>#REF!</v>
      </c>
      <c r="D93" s="161" t="e">
        <f>#REF!</f>
        <v>#REF!</v>
      </c>
      <c r="E93" s="161" t="e">
        <f>#REF!</f>
        <v>#REF!</v>
      </c>
      <c r="F93" s="161" t="e">
        <f>#REF!</f>
        <v>#REF!</v>
      </c>
      <c r="G93" s="161" t="e">
        <f>#REF!</f>
        <v>#REF!</v>
      </c>
      <c r="H93" s="161" t="e">
        <f>#REF!</f>
        <v>#REF!</v>
      </c>
    </row>
    <row r="94" spans="1:8" x14ac:dyDescent="0.3">
      <c r="A94" s="161" t="e">
        <f>#REF!</f>
        <v>#REF!</v>
      </c>
      <c r="B94" s="161" t="e">
        <f>#REF!</f>
        <v>#REF!</v>
      </c>
      <c r="C94" s="161" t="e">
        <f>#REF!</f>
        <v>#REF!</v>
      </c>
      <c r="D94" s="161" t="e">
        <f>#REF!</f>
        <v>#REF!</v>
      </c>
      <c r="E94" s="161" t="e">
        <f>#REF!</f>
        <v>#REF!</v>
      </c>
      <c r="F94" s="161" t="e">
        <f>#REF!</f>
        <v>#REF!</v>
      </c>
      <c r="G94" s="161" t="e">
        <f>#REF!</f>
        <v>#REF!</v>
      </c>
      <c r="H94" s="161" t="e">
        <f>#REF!</f>
        <v>#REF!</v>
      </c>
    </row>
    <row r="95" spans="1:8" x14ac:dyDescent="0.3">
      <c r="A95" s="161" t="e">
        <f>#REF!</f>
        <v>#REF!</v>
      </c>
      <c r="B95" s="161" t="e">
        <f>#REF!</f>
        <v>#REF!</v>
      </c>
      <c r="C95" s="161" t="e">
        <f>#REF!</f>
        <v>#REF!</v>
      </c>
      <c r="D95" s="161" t="e">
        <f>#REF!</f>
        <v>#REF!</v>
      </c>
      <c r="E95" s="161" t="e">
        <f>#REF!</f>
        <v>#REF!</v>
      </c>
      <c r="F95" s="161" t="e">
        <f>#REF!</f>
        <v>#REF!</v>
      </c>
      <c r="G95" s="161" t="e">
        <f>#REF!</f>
        <v>#REF!</v>
      </c>
      <c r="H95" s="161" t="e">
        <f>#REF!</f>
        <v>#REF!</v>
      </c>
    </row>
    <row r="96" spans="1:8" x14ac:dyDescent="0.3">
      <c r="A96" s="161" t="e">
        <f>#REF!</f>
        <v>#REF!</v>
      </c>
      <c r="B96" s="161" t="e">
        <f>#REF!</f>
        <v>#REF!</v>
      </c>
      <c r="C96" s="161" t="e">
        <f>#REF!</f>
        <v>#REF!</v>
      </c>
      <c r="D96" s="161" t="e">
        <f>#REF!</f>
        <v>#REF!</v>
      </c>
      <c r="E96" s="161" t="e">
        <f>#REF!</f>
        <v>#REF!</v>
      </c>
      <c r="F96" s="161" t="e">
        <f>#REF!</f>
        <v>#REF!</v>
      </c>
      <c r="G96" s="161" t="e">
        <f>#REF!</f>
        <v>#REF!</v>
      </c>
      <c r="H96" s="161" t="e">
        <f>#REF!</f>
        <v>#REF!</v>
      </c>
    </row>
    <row r="97" spans="1:8" x14ac:dyDescent="0.3">
      <c r="A97" s="161" t="e">
        <f>#REF!</f>
        <v>#REF!</v>
      </c>
      <c r="B97" s="161" t="e">
        <f>#REF!</f>
        <v>#REF!</v>
      </c>
      <c r="C97" s="161" t="e">
        <f>#REF!</f>
        <v>#REF!</v>
      </c>
      <c r="D97" s="161" t="e">
        <f>#REF!</f>
        <v>#REF!</v>
      </c>
      <c r="E97" s="161" t="e">
        <f>#REF!</f>
        <v>#REF!</v>
      </c>
      <c r="F97" s="161" t="e">
        <f>#REF!</f>
        <v>#REF!</v>
      </c>
      <c r="G97" s="161" t="e">
        <f>#REF!</f>
        <v>#REF!</v>
      </c>
      <c r="H97" s="161" t="e">
        <f>#REF!</f>
        <v>#REF!</v>
      </c>
    </row>
    <row r="98" spans="1:8" x14ac:dyDescent="0.3">
      <c r="A98" s="161" t="e">
        <f>#REF!</f>
        <v>#REF!</v>
      </c>
      <c r="B98" s="161" t="e">
        <f>#REF!</f>
        <v>#REF!</v>
      </c>
      <c r="C98" s="161" t="e">
        <f>#REF!</f>
        <v>#REF!</v>
      </c>
      <c r="D98" s="161" t="e">
        <f>#REF!</f>
        <v>#REF!</v>
      </c>
      <c r="E98" s="161" t="e">
        <f>#REF!</f>
        <v>#REF!</v>
      </c>
      <c r="F98" s="161" t="e">
        <f>#REF!</f>
        <v>#REF!</v>
      </c>
      <c r="G98" s="161" t="e">
        <f>#REF!</f>
        <v>#REF!</v>
      </c>
      <c r="H98" s="161" t="e">
        <f>#REF!</f>
        <v>#REF!</v>
      </c>
    </row>
    <row r="99" spans="1:8" x14ac:dyDescent="0.3">
      <c r="A99" s="161" t="e">
        <f>#REF!</f>
        <v>#REF!</v>
      </c>
      <c r="B99" s="161" t="e">
        <f>#REF!</f>
        <v>#REF!</v>
      </c>
      <c r="C99" s="161" t="e">
        <f>#REF!</f>
        <v>#REF!</v>
      </c>
      <c r="D99" s="161" t="e">
        <f>#REF!</f>
        <v>#REF!</v>
      </c>
      <c r="E99" s="161" t="e">
        <f>#REF!</f>
        <v>#REF!</v>
      </c>
      <c r="F99" s="161" t="e">
        <f>#REF!</f>
        <v>#REF!</v>
      </c>
      <c r="G99" s="161" t="e">
        <f>#REF!</f>
        <v>#REF!</v>
      </c>
      <c r="H99" s="161" t="e">
        <f>#REF!</f>
        <v>#REF!</v>
      </c>
    </row>
    <row r="100" spans="1:8" x14ac:dyDescent="0.3">
      <c r="A100" s="161" t="e">
        <f>#REF!</f>
        <v>#REF!</v>
      </c>
      <c r="B100" s="161" t="e">
        <f>#REF!</f>
        <v>#REF!</v>
      </c>
      <c r="C100" s="161" t="e">
        <f>#REF!</f>
        <v>#REF!</v>
      </c>
      <c r="D100" s="161" t="e">
        <f>#REF!</f>
        <v>#REF!</v>
      </c>
      <c r="E100" s="161" t="e">
        <f>#REF!</f>
        <v>#REF!</v>
      </c>
      <c r="F100" s="161" t="e">
        <f>#REF!</f>
        <v>#REF!</v>
      </c>
      <c r="G100" s="161" t="e">
        <f>#REF!</f>
        <v>#REF!</v>
      </c>
      <c r="H100" s="161" t="e">
        <f>#REF!</f>
        <v>#REF!</v>
      </c>
    </row>
    <row r="101" spans="1:8" x14ac:dyDescent="0.3">
      <c r="A101" s="161" t="e">
        <f>#REF!</f>
        <v>#REF!</v>
      </c>
      <c r="B101" s="161" t="e">
        <f>#REF!</f>
        <v>#REF!</v>
      </c>
      <c r="C101" s="161" t="e">
        <f>#REF!</f>
        <v>#REF!</v>
      </c>
      <c r="D101" s="161" t="e">
        <f>#REF!</f>
        <v>#REF!</v>
      </c>
      <c r="E101" s="161" t="e">
        <f>#REF!</f>
        <v>#REF!</v>
      </c>
      <c r="F101" s="161" t="e">
        <f>#REF!</f>
        <v>#REF!</v>
      </c>
      <c r="G101" s="161" t="e">
        <f>#REF!</f>
        <v>#REF!</v>
      </c>
      <c r="H101" s="161" t="e">
        <f>#REF!</f>
        <v>#REF!</v>
      </c>
    </row>
    <row r="102" spans="1:8" x14ac:dyDescent="0.3">
      <c r="A102" s="161" t="e">
        <f>#REF!</f>
        <v>#REF!</v>
      </c>
      <c r="B102" s="161" t="e">
        <f>#REF!</f>
        <v>#REF!</v>
      </c>
      <c r="C102" s="161" t="e">
        <f>#REF!</f>
        <v>#REF!</v>
      </c>
      <c r="D102" s="161" t="e">
        <f>#REF!</f>
        <v>#REF!</v>
      </c>
      <c r="E102" s="161" t="e">
        <f>#REF!</f>
        <v>#REF!</v>
      </c>
      <c r="F102" s="161" t="e">
        <f>#REF!</f>
        <v>#REF!</v>
      </c>
      <c r="G102" s="161" t="e">
        <f>#REF!</f>
        <v>#REF!</v>
      </c>
      <c r="H102" s="161" t="e">
        <f>#REF!</f>
        <v>#REF!</v>
      </c>
    </row>
    <row r="103" spans="1:8" x14ac:dyDescent="0.3">
      <c r="A103" s="161" t="e">
        <f>#REF!</f>
        <v>#REF!</v>
      </c>
      <c r="B103" s="161" t="e">
        <f>#REF!</f>
        <v>#REF!</v>
      </c>
      <c r="C103" s="161" t="e">
        <f>#REF!</f>
        <v>#REF!</v>
      </c>
      <c r="D103" s="161" t="e">
        <f>#REF!</f>
        <v>#REF!</v>
      </c>
      <c r="E103" s="161" t="e">
        <f>#REF!</f>
        <v>#REF!</v>
      </c>
      <c r="F103" s="161" t="e">
        <f>#REF!</f>
        <v>#REF!</v>
      </c>
      <c r="G103" s="161" t="e">
        <f>#REF!</f>
        <v>#REF!</v>
      </c>
      <c r="H103" s="161" t="e">
        <f>#REF!</f>
        <v>#REF!</v>
      </c>
    </row>
    <row r="104" spans="1:8" x14ac:dyDescent="0.3">
      <c r="A104" s="161" t="e">
        <f>#REF!</f>
        <v>#REF!</v>
      </c>
      <c r="B104" s="161" t="e">
        <f>#REF!</f>
        <v>#REF!</v>
      </c>
      <c r="C104" s="161" t="e">
        <f>#REF!</f>
        <v>#REF!</v>
      </c>
      <c r="D104" s="161" t="e">
        <f>#REF!</f>
        <v>#REF!</v>
      </c>
      <c r="E104" s="161" t="e">
        <f>#REF!</f>
        <v>#REF!</v>
      </c>
      <c r="F104" s="161" t="e">
        <f>#REF!</f>
        <v>#REF!</v>
      </c>
      <c r="G104" s="161" t="e">
        <f>#REF!</f>
        <v>#REF!</v>
      </c>
      <c r="H104" s="161" t="e">
        <f>#REF!</f>
        <v>#REF!</v>
      </c>
    </row>
    <row r="105" spans="1:8" x14ac:dyDescent="0.3">
      <c r="A105" s="161" t="e">
        <f>#REF!</f>
        <v>#REF!</v>
      </c>
      <c r="B105" s="161" t="e">
        <f>#REF!</f>
        <v>#REF!</v>
      </c>
      <c r="C105" s="161" t="e">
        <f>#REF!</f>
        <v>#REF!</v>
      </c>
      <c r="D105" s="161" t="e">
        <f>#REF!</f>
        <v>#REF!</v>
      </c>
      <c r="E105" s="161" t="e">
        <f>#REF!</f>
        <v>#REF!</v>
      </c>
      <c r="F105" s="161" t="e">
        <f>#REF!</f>
        <v>#REF!</v>
      </c>
      <c r="G105" s="161" t="e">
        <f>#REF!</f>
        <v>#REF!</v>
      </c>
      <c r="H105" s="161" t="e">
        <f>#REF!</f>
        <v>#REF!</v>
      </c>
    </row>
    <row r="106" spans="1:8" x14ac:dyDescent="0.3">
      <c r="A106" s="161" t="e">
        <f>#REF!</f>
        <v>#REF!</v>
      </c>
      <c r="B106" s="161" t="e">
        <f>#REF!</f>
        <v>#REF!</v>
      </c>
      <c r="C106" s="161" t="e">
        <f>#REF!</f>
        <v>#REF!</v>
      </c>
      <c r="D106" s="161" t="e">
        <f>#REF!</f>
        <v>#REF!</v>
      </c>
      <c r="E106" s="161" t="e">
        <f>#REF!</f>
        <v>#REF!</v>
      </c>
      <c r="F106" s="161" t="e">
        <f>#REF!</f>
        <v>#REF!</v>
      </c>
      <c r="G106" s="161" t="e">
        <f>#REF!</f>
        <v>#REF!</v>
      </c>
      <c r="H106" s="161" t="e">
        <f>#REF!</f>
        <v>#REF!</v>
      </c>
    </row>
    <row r="107" spans="1:8" x14ac:dyDescent="0.3">
      <c r="A107" s="161" t="e">
        <f>#REF!</f>
        <v>#REF!</v>
      </c>
      <c r="B107" s="161" t="e">
        <f>#REF!</f>
        <v>#REF!</v>
      </c>
      <c r="C107" s="161" t="e">
        <f>#REF!</f>
        <v>#REF!</v>
      </c>
      <c r="D107" s="161" t="e">
        <f>#REF!</f>
        <v>#REF!</v>
      </c>
      <c r="E107" s="161" t="e">
        <f>#REF!</f>
        <v>#REF!</v>
      </c>
      <c r="F107" s="161" t="e">
        <f>#REF!</f>
        <v>#REF!</v>
      </c>
      <c r="G107" s="161" t="e">
        <f>#REF!</f>
        <v>#REF!</v>
      </c>
      <c r="H107" s="161" t="e">
        <f>#REF!</f>
        <v>#REF!</v>
      </c>
    </row>
    <row r="108" spans="1:8" x14ac:dyDescent="0.3">
      <c r="A108" s="161" t="e">
        <f>#REF!</f>
        <v>#REF!</v>
      </c>
      <c r="B108" s="161" t="e">
        <f>#REF!</f>
        <v>#REF!</v>
      </c>
      <c r="C108" s="161" t="e">
        <f>#REF!</f>
        <v>#REF!</v>
      </c>
      <c r="D108" s="161" t="e">
        <f>#REF!</f>
        <v>#REF!</v>
      </c>
      <c r="E108" s="161" t="e">
        <f>#REF!</f>
        <v>#REF!</v>
      </c>
      <c r="F108" s="161" t="e">
        <f>#REF!</f>
        <v>#REF!</v>
      </c>
      <c r="G108" s="161" t="e">
        <f>#REF!</f>
        <v>#REF!</v>
      </c>
      <c r="H108" s="161" t="e">
        <f>#REF!</f>
        <v>#REF!</v>
      </c>
    </row>
    <row r="109" spans="1:8" x14ac:dyDescent="0.3">
      <c r="A109" s="161" t="e">
        <f>#REF!</f>
        <v>#REF!</v>
      </c>
      <c r="B109" s="161" t="e">
        <f>#REF!</f>
        <v>#REF!</v>
      </c>
      <c r="C109" s="161" t="e">
        <f>#REF!</f>
        <v>#REF!</v>
      </c>
      <c r="D109" s="161" t="e">
        <f>#REF!</f>
        <v>#REF!</v>
      </c>
      <c r="E109" s="161" t="e">
        <f>#REF!</f>
        <v>#REF!</v>
      </c>
      <c r="F109" s="161" t="e">
        <f>#REF!</f>
        <v>#REF!</v>
      </c>
      <c r="G109" s="161" t="e">
        <f>#REF!</f>
        <v>#REF!</v>
      </c>
      <c r="H109" s="161" t="e">
        <f>#REF!</f>
        <v>#REF!</v>
      </c>
    </row>
    <row r="110" spans="1:8" x14ac:dyDescent="0.3">
      <c r="A110" s="161" t="e">
        <f>#REF!</f>
        <v>#REF!</v>
      </c>
      <c r="B110" s="161" t="e">
        <f>#REF!</f>
        <v>#REF!</v>
      </c>
      <c r="C110" s="161" t="e">
        <f>#REF!</f>
        <v>#REF!</v>
      </c>
      <c r="D110" s="161" t="e">
        <f>#REF!</f>
        <v>#REF!</v>
      </c>
      <c r="E110" s="161" t="e">
        <f>#REF!</f>
        <v>#REF!</v>
      </c>
      <c r="F110" s="161" t="e">
        <f>#REF!</f>
        <v>#REF!</v>
      </c>
      <c r="G110" s="161" t="e">
        <f>#REF!</f>
        <v>#REF!</v>
      </c>
      <c r="H110" s="161" t="e">
        <f>#REF!</f>
        <v>#REF!</v>
      </c>
    </row>
    <row r="111" spans="1:8" x14ac:dyDescent="0.3">
      <c r="A111" s="161" t="e">
        <f>#REF!</f>
        <v>#REF!</v>
      </c>
      <c r="B111" s="161" t="e">
        <f>#REF!</f>
        <v>#REF!</v>
      </c>
      <c r="C111" s="161" t="e">
        <f>#REF!</f>
        <v>#REF!</v>
      </c>
      <c r="D111" s="161" t="e">
        <f>#REF!</f>
        <v>#REF!</v>
      </c>
      <c r="E111" s="161" t="e">
        <f>#REF!</f>
        <v>#REF!</v>
      </c>
      <c r="F111" s="161" t="e">
        <f>#REF!</f>
        <v>#REF!</v>
      </c>
      <c r="G111" s="161" t="e">
        <f>#REF!</f>
        <v>#REF!</v>
      </c>
      <c r="H111" s="161" t="e">
        <f>#REF!</f>
        <v>#REF!</v>
      </c>
    </row>
    <row r="112" spans="1:8" x14ac:dyDescent="0.3">
      <c r="A112" s="161" t="e">
        <f>#REF!</f>
        <v>#REF!</v>
      </c>
      <c r="B112" s="161" t="e">
        <f>#REF!</f>
        <v>#REF!</v>
      </c>
      <c r="C112" s="161" t="e">
        <f>#REF!</f>
        <v>#REF!</v>
      </c>
      <c r="D112" s="161" t="e">
        <f>#REF!</f>
        <v>#REF!</v>
      </c>
      <c r="E112" s="161" t="e">
        <f>#REF!</f>
        <v>#REF!</v>
      </c>
      <c r="F112" s="161" t="e">
        <f>#REF!</f>
        <v>#REF!</v>
      </c>
      <c r="G112" s="161" t="e">
        <f>#REF!</f>
        <v>#REF!</v>
      </c>
      <c r="H112" s="161" t="e">
        <f>#REF!</f>
        <v>#REF!</v>
      </c>
    </row>
    <row r="113" spans="1:8" x14ac:dyDescent="0.3">
      <c r="A113" s="161" t="e">
        <f>#REF!</f>
        <v>#REF!</v>
      </c>
      <c r="B113" s="161" t="e">
        <f>#REF!</f>
        <v>#REF!</v>
      </c>
      <c r="C113" s="161" t="e">
        <f>#REF!</f>
        <v>#REF!</v>
      </c>
      <c r="D113" s="161" t="e">
        <f>#REF!</f>
        <v>#REF!</v>
      </c>
      <c r="E113" s="161" t="e">
        <f>#REF!</f>
        <v>#REF!</v>
      </c>
      <c r="F113" s="161" t="e">
        <f>#REF!</f>
        <v>#REF!</v>
      </c>
      <c r="G113" s="161" t="e">
        <f>#REF!</f>
        <v>#REF!</v>
      </c>
      <c r="H113" s="161" t="e">
        <f>#REF!</f>
        <v>#REF!</v>
      </c>
    </row>
    <row r="114" spans="1:8" x14ac:dyDescent="0.3">
      <c r="A114" s="161" t="e">
        <f>#REF!</f>
        <v>#REF!</v>
      </c>
      <c r="B114" s="161" t="e">
        <f>#REF!</f>
        <v>#REF!</v>
      </c>
      <c r="C114" s="161" t="e">
        <f>#REF!</f>
        <v>#REF!</v>
      </c>
      <c r="D114" s="161" t="e">
        <f>#REF!</f>
        <v>#REF!</v>
      </c>
      <c r="E114" s="161" t="e">
        <f>#REF!</f>
        <v>#REF!</v>
      </c>
      <c r="F114" s="161" t="e">
        <f>#REF!</f>
        <v>#REF!</v>
      </c>
      <c r="G114" s="161" t="e">
        <f>#REF!</f>
        <v>#REF!</v>
      </c>
      <c r="H114" s="161" t="e">
        <f>#REF!</f>
        <v>#REF!</v>
      </c>
    </row>
    <row r="115" spans="1:8" x14ac:dyDescent="0.3">
      <c r="A115" s="161" t="e">
        <f>#REF!</f>
        <v>#REF!</v>
      </c>
      <c r="B115" s="161" t="e">
        <f>#REF!</f>
        <v>#REF!</v>
      </c>
      <c r="C115" s="161" t="e">
        <f>#REF!</f>
        <v>#REF!</v>
      </c>
      <c r="D115" s="161" t="e">
        <f>#REF!</f>
        <v>#REF!</v>
      </c>
      <c r="E115" s="161" t="e">
        <f>#REF!</f>
        <v>#REF!</v>
      </c>
      <c r="F115" s="161" t="e">
        <f>#REF!</f>
        <v>#REF!</v>
      </c>
      <c r="G115" s="161" t="e">
        <f>#REF!</f>
        <v>#REF!</v>
      </c>
      <c r="H115" s="161" t="e">
        <f>#REF!</f>
        <v>#REF!</v>
      </c>
    </row>
    <row r="116" spans="1:8" x14ac:dyDescent="0.3">
      <c r="A116" s="161" t="e">
        <f>#REF!</f>
        <v>#REF!</v>
      </c>
      <c r="B116" s="161" t="e">
        <f>#REF!</f>
        <v>#REF!</v>
      </c>
      <c r="C116" s="161" t="e">
        <f>#REF!</f>
        <v>#REF!</v>
      </c>
      <c r="D116" s="161" t="e">
        <f>#REF!</f>
        <v>#REF!</v>
      </c>
      <c r="E116" s="161" t="e">
        <f>#REF!</f>
        <v>#REF!</v>
      </c>
      <c r="F116" s="161" t="e">
        <f>#REF!</f>
        <v>#REF!</v>
      </c>
      <c r="G116" s="161" t="e">
        <f>#REF!</f>
        <v>#REF!</v>
      </c>
      <c r="H116" s="161" t="e">
        <f>#REF!</f>
        <v>#REF!</v>
      </c>
    </row>
    <row r="117" spans="1:8" x14ac:dyDescent="0.3">
      <c r="A117" s="161" t="e">
        <f>#REF!</f>
        <v>#REF!</v>
      </c>
      <c r="B117" s="161" t="e">
        <f>#REF!</f>
        <v>#REF!</v>
      </c>
      <c r="C117" s="161" t="e">
        <f>#REF!</f>
        <v>#REF!</v>
      </c>
      <c r="D117" s="161" t="e">
        <f>#REF!</f>
        <v>#REF!</v>
      </c>
      <c r="E117" s="161" t="e">
        <f>#REF!</f>
        <v>#REF!</v>
      </c>
      <c r="F117" s="161" t="e">
        <f>#REF!</f>
        <v>#REF!</v>
      </c>
      <c r="G117" s="161" t="e">
        <f>#REF!</f>
        <v>#REF!</v>
      </c>
      <c r="H117" s="161" t="e">
        <f>#REF!</f>
        <v>#REF!</v>
      </c>
    </row>
    <row r="118" spans="1:8" x14ac:dyDescent="0.3">
      <c r="A118" s="161" t="e">
        <f>#REF!</f>
        <v>#REF!</v>
      </c>
      <c r="B118" s="161" t="e">
        <f>#REF!</f>
        <v>#REF!</v>
      </c>
      <c r="C118" s="161" t="e">
        <f>#REF!</f>
        <v>#REF!</v>
      </c>
      <c r="D118" s="161" t="e">
        <f>#REF!</f>
        <v>#REF!</v>
      </c>
      <c r="E118" s="161" t="e">
        <f>#REF!</f>
        <v>#REF!</v>
      </c>
      <c r="F118" s="161" t="e">
        <f>#REF!</f>
        <v>#REF!</v>
      </c>
      <c r="G118" s="161" t="e">
        <f>#REF!</f>
        <v>#REF!</v>
      </c>
      <c r="H118" s="161" t="e">
        <f>#REF!</f>
        <v>#REF!</v>
      </c>
    </row>
    <row r="119" spans="1:8" x14ac:dyDescent="0.3">
      <c r="A119" s="161" t="e">
        <f>#REF!</f>
        <v>#REF!</v>
      </c>
      <c r="B119" s="161" t="e">
        <f>#REF!</f>
        <v>#REF!</v>
      </c>
      <c r="C119" s="161" t="e">
        <f>#REF!</f>
        <v>#REF!</v>
      </c>
      <c r="D119" s="161" t="e">
        <f>#REF!</f>
        <v>#REF!</v>
      </c>
      <c r="E119" s="161" t="e">
        <f>#REF!</f>
        <v>#REF!</v>
      </c>
      <c r="F119" s="161" t="e">
        <f>#REF!</f>
        <v>#REF!</v>
      </c>
      <c r="G119" s="161" t="e">
        <f>#REF!</f>
        <v>#REF!</v>
      </c>
      <c r="H119" s="161" t="e">
        <f>#REF!</f>
        <v>#REF!</v>
      </c>
    </row>
    <row r="120" spans="1:8" x14ac:dyDescent="0.3">
      <c r="A120" s="161" t="e">
        <f>#REF!</f>
        <v>#REF!</v>
      </c>
      <c r="B120" s="161" t="e">
        <f>#REF!</f>
        <v>#REF!</v>
      </c>
      <c r="C120" s="161" t="e">
        <f>#REF!</f>
        <v>#REF!</v>
      </c>
      <c r="D120" s="161" t="e">
        <f>#REF!</f>
        <v>#REF!</v>
      </c>
      <c r="E120" s="161" t="e">
        <f>#REF!</f>
        <v>#REF!</v>
      </c>
      <c r="F120" s="161" t="e">
        <f>#REF!</f>
        <v>#REF!</v>
      </c>
      <c r="G120" s="161" t="e">
        <f>#REF!</f>
        <v>#REF!</v>
      </c>
      <c r="H120" s="161" t="e">
        <f>#REF!</f>
        <v>#REF!</v>
      </c>
    </row>
    <row r="121" spans="1:8" x14ac:dyDescent="0.3">
      <c r="A121" s="161" t="e">
        <f>#REF!</f>
        <v>#REF!</v>
      </c>
      <c r="B121" s="161" t="e">
        <f>#REF!</f>
        <v>#REF!</v>
      </c>
      <c r="C121" s="161" t="e">
        <f>#REF!</f>
        <v>#REF!</v>
      </c>
      <c r="D121" s="161" t="e">
        <f>#REF!</f>
        <v>#REF!</v>
      </c>
      <c r="E121" s="161" t="e">
        <f>#REF!</f>
        <v>#REF!</v>
      </c>
      <c r="F121" s="161" t="e">
        <f>#REF!</f>
        <v>#REF!</v>
      </c>
      <c r="G121" s="161" t="e">
        <f>#REF!</f>
        <v>#REF!</v>
      </c>
      <c r="H121" s="161" t="e">
        <f>#REF!</f>
        <v>#REF!</v>
      </c>
    </row>
    <row r="122" spans="1:8" x14ac:dyDescent="0.3">
      <c r="A122" s="161" t="e">
        <f>#REF!</f>
        <v>#REF!</v>
      </c>
      <c r="B122" s="161" t="e">
        <f>#REF!</f>
        <v>#REF!</v>
      </c>
      <c r="C122" s="161" t="e">
        <f>#REF!</f>
        <v>#REF!</v>
      </c>
      <c r="D122" s="161" t="e">
        <f>#REF!</f>
        <v>#REF!</v>
      </c>
      <c r="E122" s="161" t="e">
        <f>#REF!</f>
        <v>#REF!</v>
      </c>
      <c r="F122" s="161" t="e">
        <f>#REF!</f>
        <v>#REF!</v>
      </c>
      <c r="G122" s="161" t="e">
        <f>#REF!</f>
        <v>#REF!</v>
      </c>
      <c r="H122" s="161" t="e">
        <f>#REF!</f>
        <v>#REF!</v>
      </c>
    </row>
    <row r="123" spans="1:8" x14ac:dyDescent="0.3">
      <c r="A123" s="161" t="e">
        <f>#REF!</f>
        <v>#REF!</v>
      </c>
      <c r="B123" s="161" t="e">
        <f>#REF!</f>
        <v>#REF!</v>
      </c>
      <c r="C123" s="161" t="e">
        <f>#REF!</f>
        <v>#REF!</v>
      </c>
      <c r="D123" s="161" t="e">
        <f>#REF!</f>
        <v>#REF!</v>
      </c>
      <c r="E123" s="161" t="e">
        <f>#REF!</f>
        <v>#REF!</v>
      </c>
      <c r="F123" s="161" t="e">
        <f>#REF!</f>
        <v>#REF!</v>
      </c>
      <c r="G123" s="161" t="e">
        <f>#REF!</f>
        <v>#REF!</v>
      </c>
      <c r="H123" s="161" t="e">
        <f>#REF!</f>
        <v>#REF!</v>
      </c>
    </row>
    <row r="124" spans="1:8" x14ac:dyDescent="0.3">
      <c r="A124" s="161" t="e">
        <f>#REF!</f>
        <v>#REF!</v>
      </c>
      <c r="B124" s="161" t="e">
        <f>#REF!</f>
        <v>#REF!</v>
      </c>
      <c r="C124" s="161" t="e">
        <f>#REF!</f>
        <v>#REF!</v>
      </c>
      <c r="D124" s="161" t="e">
        <f>#REF!</f>
        <v>#REF!</v>
      </c>
      <c r="E124" s="161" t="e">
        <f>#REF!</f>
        <v>#REF!</v>
      </c>
      <c r="F124" s="161" t="e">
        <f>#REF!</f>
        <v>#REF!</v>
      </c>
      <c r="G124" s="161" t="e">
        <f>#REF!</f>
        <v>#REF!</v>
      </c>
      <c r="H124" s="161" t="e">
        <f>#REF!</f>
        <v>#REF!</v>
      </c>
    </row>
    <row r="125" spans="1:8" x14ac:dyDescent="0.3">
      <c r="A125" s="161" t="e">
        <f>#REF!</f>
        <v>#REF!</v>
      </c>
      <c r="B125" s="161" t="e">
        <f>#REF!</f>
        <v>#REF!</v>
      </c>
      <c r="C125" s="161" t="e">
        <f>#REF!</f>
        <v>#REF!</v>
      </c>
      <c r="D125" s="161" t="e">
        <f>#REF!</f>
        <v>#REF!</v>
      </c>
      <c r="E125" s="161" t="e">
        <f>#REF!</f>
        <v>#REF!</v>
      </c>
      <c r="F125" s="161" t="e">
        <f>#REF!</f>
        <v>#REF!</v>
      </c>
      <c r="G125" s="161" t="e">
        <f>#REF!</f>
        <v>#REF!</v>
      </c>
      <c r="H125" s="161" t="e">
        <f>#REF!</f>
        <v>#REF!</v>
      </c>
    </row>
    <row r="126" spans="1:8" x14ac:dyDescent="0.3">
      <c r="A126" s="161" t="e">
        <f>#REF!</f>
        <v>#REF!</v>
      </c>
      <c r="B126" s="161" t="e">
        <f>#REF!</f>
        <v>#REF!</v>
      </c>
      <c r="C126" s="161" t="e">
        <f>#REF!</f>
        <v>#REF!</v>
      </c>
      <c r="D126" s="161" t="e">
        <f>#REF!</f>
        <v>#REF!</v>
      </c>
      <c r="E126" s="161" t="e">
        <f>#REF!</f>
        <v>#REF!</v>
      </c>
      <c r="F126" s="161" t="e">
        <f>#REF!</f>
        <v>#REF!</v>
      </c>
      <c r="G126" s="161" t="e">
        <f>#REF!</f>
        <v>#REF!</v>
      </c>
      <c r="H126" s="161" t="e">
        <f>#REF!</f>
        <v>#REF!</v>
      </c>
    </row>
    <row r="127" spans="1:8" x14ac:dyDescent="0.3">
      <c r="A127" s="161" t="e">
        <f>#REF!</f>
        <v>#REF!</v>
      </c>
      <c r="B127" s="161" t="e">
        <f>#REF!</f>
        <v>#REF!</v>
      </c>
      <c r="C127" s="161" t="e">
        <f>#REF!</f>
        <v>#REF!</v>
      </c>
      <c r="D127" s="161" t="e">
        <f>#REF!</f>
        <v>#REF!</v>
      </c>
      <c r="E127" s="161" t="e">
        <f>#REF!</f>
        <v>#REF!</v>
      </c>
      <c r="F127" s="161" t="e">
        <f>#REF!</f>
        <v>#REF!</v>
      </c>
      <c r="G127" s="161" t="e">
        <f>#REF!</f>
        <v>#REF!</v>
      </c>
      <c r="H127" s="161" t="e">
        <f>#REF!</f>
        <v>#REF!</v>
      </c>
    </row>
    <row r="128" spans="1:8" x14ac:dyDescent="0.3">
      <c r="A128" s="161" t="e">
        <f>#REF!</f>
        <v>#REF!</v>
      </c>
      <c r="B128" s="161" t="e">
        <f>#REF!</f>
        <v>#REF!</v>
      </c>
      <c r="C128" s="161" t="e">
        <f>#REF!</f>
        <v>#REF!</v>
      </c>
      <c r="D128" s="161" t="e">
        <f>#REF!</f>
        <v>#REF!</v>
      </c>
      <c r="E128" s="161" t="e">
        <f>#REF!</f>
        <v>#REF!</v>
      </c>
      <c r="F128" s="161" t="e">
        <f>#REF!</f>
        <v>#REF!</v>
      </c>
      <c r="G128" s="161" t="e">
        <f>#REF!</f>
        <v>#REF!</v>
      </c>
      <c r="H128" s="161" t="e">
        <f>#REF!</f>
        <v>#REF!</v>
      </c>
    </row>
    <row r="129" spans="1:8" x14ac:dyDescent="0.3">
      <c r="A129" s="161" t="e">
        <f>#REF!</f>
        <v>#REF!</v>
      </c>
      <c r="B129" s="161" t="e">
        <f>#REF!</f>
        <v>#REF!</v>
      </c>
      <c r="C129" s="161" t="e">
        <f>#REF!</f>
        <v>#REF!</v>
      </c>
      <c r="D129" s="161" t="e">
        <f>#REF!</f>
        <v>#REF!</v>
      </c>
      <c r="E129" s="161" t="e">
        <f>#REF!</f>
        <v>#REF!</v>
      </c>
      <c r="F129" s="161" t="e">
        <f>#REF!</f>
        <v>#REF!</v>
      </c>
      <c r="G129" s="161" t="e">
        <f>#REF!</f>
        <v>#REF!</v>
      </c>
      <c r="H129" s="161" t="e">
        <f>#REF!</f>
        <v>#REF!</v>
      </c>
    </row>
    <row r="130" spans="1:8" x14ac:dyDescent="0.3">
      <c r="A130" s="161" t="e">
        <f>#REF!</f>
        <v>#REF!</v>
      </c>
      <c r="B130" s="161" t="e">
        <f>#REF!</f>
        <v>#REF!</v>
      </c>
      <c r="C130" s="161" t="e">
        <f>#REF!</f>
        <v>#REF!</v>
      </c>
      <c r="D130" s="161" t="e">
        <f>#REF!</f>
        <v>#REF!</v>
      </c>
      <c r="E130" s="161" t="e">
        <f>#REF!</f>
        <v>#REF!</v>
      </c>
      <c r="F130" s="161" t="e">
        <f>#REF!</f>
        <v>#REF!</v>
      </c>
      <c r="G130" s="161" t="e">
        <f>#REF!</f>
        <v>#REF!</v>
      </c>
      <c r="H130" s="161" t="e">
        <f>#REF!</f>
        <v>#REF!</v>
      </c>
    </row>
    <row r="131" spans="1:8" x14ac:dyDescent="0.3">
      <c r="A131" s="161" t="e">
        <f>#REF!</f>
        <v>#REF!</v>
      </c>
      <c r="B131" s="161" t="e">
        <f>#REF!</f>
        <v>#REF!</v>
      </c>
      <c r="C131" s="161" t="e">
        <f>#REF!</f>
        <v>#REF!</v>
      </c>
      <c r="D131" s="161" t="e">
        <f>#REF!</f>
        <v>#REF!</v>
      </c>
      <c r="E131" s="161" t="e">
        <f>#REF!</f>
        <v>#REF!</v>
      </c>
      <c r="F131" s="161" t="e">
        <f>#REF!</f>
        <v>#REF!</v>
      </c>
      <c r="G131" s="161" t="e">
        <f>#REF!</f>
        <v>#REF!</v>
      </c>
      <c r="H131" s="161" t="e">
        <f>#REF!</f>
        <v>#REF!</v>
      </c>
    </row>
    <row r="132" spans="1:8" x14ac:dyDescent="0.3">
      <c r="A132" s="161" t="e">
        <f>#REF!</f>
        <v>#REF!</v>
      </c>
      <c r="B132" s="161" t="e">
        <f>#REF!</f>
        <v>#REF!</v>
      </c>
      <c r="C132" s="161" t="e">
        <f>#REF!</f>
        <v>#REF!</v>
      </c>
      <c r="D132" s="161" t="e">
        <f>#REF!</f>
        <v>#REF!</v>
      </c>
      <c r="E132" s="161" t="e">
        <f>#REF!</f>
        <v>#REF!</v>
      </c>
      <c r="F132" s="161" t="e">
        <f>#REF!</f>
        <v>#REF!</v>
      </c>
      <c r="G132" s="161" t="e">
        <f>#REF!</f>
        <v>#REF!</v>
      </c>
      <c r="H132" s="161" t="e">
        <f>#REF!</f>
        <v>#REF!</v>
      </c>
    </row>
    <row r="133" spans="1:8" x14ac:dyDescent="0.3">
      <c r="A133" s="161" t="e">
        <f>#REF!</f>
        <v>#REF!</v>
      </c>
      <c r="B133" s="161" t="e">
        <f>#REF!</f>
        <v>#REF!</v>
      </c>
      <c r="C133" s="161" t="e">
        <f>#REF!</f>
        <v>#REF!</v>
      </c>
      <c r="D133" s="161" t="e">
        <f>#REF!</f>
        <v>#REF!</v>
      </c>
      <c r="E133" s="161" t="e">
        <f>#REF!</f>
        <v>#REF!</v>
      </c>
      <c r="F133" s="161" t="e">
        <f>#REF!</f>
        <v>#REF!</v>
      </c>
      <c r="G133" s="161" t="e">
        <f>#REF!</f>
        <v>#REF!</v>
      </c>
      <c r="H133" s="161" t="e">
        <f>#REF!</f>
        <v>#REF!</v>
      </c>
    </row>
    <row r="134" spans="1:8" x14ac:dyDescent="0.3">
      <c r="A134" s="161" t="e">
        <f>#REF!</f>
        <v>#REF!</v>
      </c>
      <c r="B134" s="161" t="e">
        <f>#REF!</f>
        <v>#REF!</v>
      </c>
      <c r="C134" s="161" t="e">
        <f>#REF!</f>
        <v>#REF!</v>
      </c>
      <c r="D134" s="161" t="e">
        <f>#REF!</f>
        <v>#REF!</v>
      </c>
      <c r="E134" s="161" t="e">
        <f>#REF!</f>
        <v>#REF!</v>
      </c>
      <c r="F134" s="161" t="e">
        <f>#REF!</f>
        <v>#REF!</v>
      </c>
      <c r="G134" s="161" t="e">
        <f>#REF!</f>
        <v>#REF!</v>
      </c>
      <c r="H134" s="161" t="e">
        <f>#REF!</f>
        <v>#REF!</v>
      </c>
    </row>
    <row r="135" spans="1:8" x14ac:dyDescent="0.3">
      <c r="A135" s="161" t="e">
        <f>#REF!</f>
        <v>#REF!</v>
      </c>
      <c r="B135" s="161" t="e">
        <f>#REF!</f>
        <v>#REF!</v>
      </c>
      <c r="C135" s="161" t="e">
        <f>#REF!</f>
        <v>#REF!</v>
      </c>
      <c r="D135" s="161" t="e">
        <f>#REF!</f>
        <v>#REF!</v>
      </c>
      <c r="E135" s="161" t="e">
        <f>#REF!</f>
        <v>#REF!</v>
      </c>
      <c r="F135" s="161" t="e">
        <f>#REF!</f>
        <v>#REF!</v>
      </c>
      <c r="G135" s="161" t="e">
        <f>#REF!</f>
        <v>#REF!</v>
      </c>
      <c r="H135" s="161" t="e">
        <f>#REF!</f>
        <v>#REF!</v>
      </c>
    </row>
    <row r="136" spans="1:8" x14ac:dyDescent="0.3">
      <c r="A136" s="161" t="e">
        <f>#REF!</f>
        <v>#REF!</v>
      </c>
      <c r="B136" s="161" t="e">
        <f>#REF!</f>
        <v>#REF!</v>
      </c>
      <c r="C136" s="161" t="e">
        <f>#REF!</f>
        <v>#REF!</v>
      </c>
      <c r="D136" s="161" t="e">
        <f>#REF!</f>
        <v>#REF!</v>
      </c>
      <c r="E136" s="161" t="e">
        <f>#REF!</f>
        <v>#REF!</v>
      </c>
      <c r="F136" s="161" t="e">
        <f>#REF!</f>
        <v>#REF!</v>
      </c>
      <c r="G136" s="161" t="e">
        <f>#REF!</f>
        <v>#REF!</v>
      </c>
      <c r="H136" s="161" t="e">
        <f>#REF!</f>
        <v>#REF!</v>
      </c>
    </row>
    <row r="137" spans="1:8" x14ac:dyDescent="0.3">
      <c r="A137" s="161" t="e">
        <f>#REF!</f>
        <v>#REF!</v>
      </c>
      <c r="B137" s="161" t="e">
        <f>#REF!</f>
        <v>#REF!</v>
      </c>
      <c r="C137" s="161" t="e">
        <f>#REF!</f>
        <v>#REF!</v>
      </c>
      <c r="D137" s="161" t="e">
        <f>#REF!</f>
        <v>#REF!</v>
      </c>
      <c r="E137" s="161" t="e">
        <f>#REF!</f>
        <v>#REF!</v>
      </c>
      <c r="F137" s="161" t="e">
        <f>#REF!</f>
        <v>#REF!</v>
      </c>
      <c r="G137" s="161" t="e">
        <f>#REF!</f>
        <v>#REF!</v>
      </c>
      <c r="H137" s="161" t="e">
        <f>#REF!</f>
        <v>#REF!</v>
      </c>
    </row>
    <row r="138" spans="1:8" x14ac:dyDescent="0.3">
      <c r="A138" s="161" t="e">
        <f>#REF!</f>
        <v>#REF!</v>
      </c>
      <c r="B138" s="161" t="e">
        <f>#REF!</f>
        <v>#REF!</v>
      </c>
      <c r="C138" s="161" t="e">
        <f>#REF!</f>
        <v>#REF!</v>
      </c>
      <c r="D138" s="161" t="e">
        <f>#REF!</f>
        <v>#REF!</v>
      </c>
      <c r="E138" s="161" t="e">
        <f>#REF!</f>
        <v>#REF!</v>
      </c>
      <c r="F138" s="161" t="e">
        <f>#REF!</f>
        <v>#REF!</v>
      </c>
      <c r="G138" s="161" t="e">
        <f>#REF!</f>
        <v>#REF!</v>
      </c>
      <c r="H138" s="161" t="e">
        <f>#REF!</f>
        <v>#REF!</v>
      </c>
    </row>
    <row r="139" spans="1:8" x14ac:dyDescent="0.3">
      <c r="A139" s="161" t="e">
        <f>#REF!</f>
        <v>#REF!</v>
      </c>
      <c r="B139" s="161" t="e">
        <f>#REF!</f>
        <v>#REF!</v>
      </c>
      <c r="C139" s="161" t="e">
        <f>#REF!</f>
        <v>#REF!</v>
      </c>
      <c r="D139" s="161" t="e">
        <f>#REF!</f>
        <v>#REF!</v>
      </c>
      <c r="E139" s="161" t="e">
        <f>#REF!</f>
        <v>#REF!</v>
      </c>
      <c r="F139" s="161" t="e">
        <f>#REF!</f>
        <v>#REF!</v>
      </c>
      <c r="G139" s="161" t="e">
        <f>#REF!</f>
        <v>#REF!</v>
      </c>
      <c r="H139" s="161" t="e">
        <f>#REF!</f>
        <v>#REF!</v>
      </c>
    </row>
    <row r="140" spans="1:8" x14ac:dyDescent="0.3">
      <c r="A140" s="161" t="e">
        <f>#REF!</f>
        <v>#REF!</v>
      </c>
      <c r="B140" s="161" t="e">
        <f>#REF!</f>
        <v>#REF!</v>
      </c>
      <c r="C140" s="161" t="e">
        <f>#REF!</f>
        <v>#REF!</v>
      </c>
      <c r="D140" s="161" t="e">
        <f>#REF!</f>
        <v>#REF!</v>
      </c>
      <c r="E140" s="161" t="e">
        <f>#REF!</f>
        <v>#REF!</v>
      </c>
      <c r="F140" s="161" t="e">
        <f>#REF!</f>
        <v>#REF!</v>
      </c>
      <c r="G140" s="161" t="e">
        <f>#REF!</f>
        <v>#REF!</v>
      </c>
      <c r="H140" s="161" t="e">
        <f>#REF!</f>
        <v>#REF!</v>
      </c>
    </row>
    <row r="141" spans="1:8" x14ac:dyDescent="0.3">
      <c r="A141" s="161" t="e">
        <f>#REF!</f>
        <v>#REF!</v>
      </c>
      <c r="B141" s="161" t="e">
        <f>#REF!</f>
        <v>#REF!</v>
      </c>
      <c r="C141" s="161" t="e">
        <f>#REF!</f>
        <v>#REF!</v>
      </c>
      <c r="D141" s="161" t="e">
        <f>#REF!</f>
        <v>#REF!</v>
      </c>
      <c r="E141" s="161" t="e">
        <f>#REF!</f>
        <v>#REF!</v>
      </c>
      <c r="F141" s="161" t="e">
        <f>#REF!</f>
        <v>#REF!</v>
      </c>
      <c r="G141" s="161" t="e">
        <f>#REF!</f>
        <v>#REF!</v>
      </c>
      <c r="H141" s="161" t="e">
        <f>#REF!</f>
        <v>#REF!</v>
      </c>
    </row>
    <row r="142" spans="1:8" x14ac:dyDescent="0.3">
      <c r="A142" s="161" t="e">
        <f>#REF!</f>
        <v>#REF!</v>
      </c>
      <c r="B142" s="161" t="e">
        <f>#REF!</f>
        <v>#REF!</v>
      </c>
      <c r="C142" s="161" t="e">
        <f>#REF!</f>
        <v>#REF!</v>
      </c>
      <c r="D142" s="161" t="e">
        <f>#REF!</f>
        <v>#REF!</v>
      </c>
      <c r="E142" s="161" t="e">
        <f>#REF!</f>
        <v>#REF!</v>
      </c>
      <c r="F142" s="161" t="e">
        <f>#REF!</f>
        <v>#REF!</v>
      </c>
      <c r="G142" s="161" t="e">
        <f>#REF!</f>
        <v>#REF!</v>
      </c>
      <c r="H142" s="161" t="e">
        <f>#REF!</f>
        <v>#REF!</v>
      </c>
    </row>
    <row r="143" spans="1:8" x14ac:dyDescent="0.3">
      <c r="A143" s="161" t="e">
        <f>#REF!</f>
        <v>#REF!</v>
      </c>
      <c r="B143" s="161" t="e">
        <f>#REF!</f>
        <v>#REF!</v>
      </c>
      <c r="C143" s="161" t="e">
        <f>#REF!</f>
        <v>#REF!</v>
      </c>
      <c r="D143" s="161" t="e">
        <f>#REF!</f>
        <v>#REF!</v>
      </c>
      <c r="E143" s="161" t="e">
        <f>#REF!</f>
        <v>#REF!</v>
      </c>
      <c r="F143" s="161" t="e">
        <f>#REF!</f>
        <v>#REF!</v>
      </c>
      <c r="G143" s="161" t="e">
        <f>#REF!</f>
        <v>#REF!</v>
      </c>
      <c r="H143" s="161" t="e">
        <f>#REF!</f>
        <v>#REF!</v>
      </c>
    </row>
    <row r="144" spans="1:8" x14ac:dyDescent="0.3">
      <c r="A144" s="161" t="e">
        <f>#REF!</f>
        <v>#REF!</v>
      </c>
      <c r="B144" s="161" t="e">
        <f>#REF!</f>
        <v>#REF!</v>
      </c>
      <c r="C144" s="161" t="e">
        <f>#REF!</f>
        <v>#REF!</v>
      </c>
      <c r="D144" s="161" t="e">
        <f>#REF!</f>
        <v>#REF!</v>
      </c>
      <c r="E144" s="161" t="e">
        <f>#REF!</f>
        <v>#REF!</v>
      </c>
      <c r="F144" s="161" t="e">
        <f>#REF!</f>
        <v>#REF!</v>
      </c>
      <c r="G144" s="161" t="e">
        <f>#REF!</f>
        <v>#REF!</v>
      </c>
      <c r="H144" s="161" t="e">
        <f>#REF!</f>
        <v>#REF!</v>
      </c>
    </row>
    <row r="145" spans="1:8" x14ac:dyDescent="0.3">
      <c r="A145" s="161" t="e">
        <f>#REF!</f>
        <v>#REF!</v>
      </c>
      <c r="B145" s="161" t="e">
        <f>#REF!</f>
        <v>#REF!</v>
      </c>
      <c r="C145" s="161" t="e">
        <f>#REF!</f>
        <v>#REF!</v>
      </c>
      <c r="D145" s="161" t="e">
        <f>#REF!</f>
        <v>#REF!</v>
      </c>
      <c r="E145" s="161" t="e">
        <f>#REF!</f>
        <v>#REF!</v>
      </c>
      <c r="F145" s="161" t="e">
        <f>#REF!</f>
        <v>#REF!</v>
      </c>
      <c r="G145" s="161" t="e">
        <f>#REF!</f>
        <v>#REF!</v>
      </c>
      <c r="H145" s="161" t="e">
        <f>#REF!</f>
        <v>#REF!</v>
      </c>
    </row>
    <row r="146" spans="1:8" x14ac:dyDescent="0.3">
      <c r="A146" s="161" t="e">
        <f>#REF!</f>
        <v>#REF!</v>
      </c>
      <c r="B146" s="161" t="e">
        <f>#REF!</f>
        <v>#REF!</v>
      </c>
      <c r="C146" s="161" t="e">
        <f>#REF!</f>
        <v>#REF!</v>
      </c>
      <c r="D146" s="161" t="e">
        <f>#REF!</f>
        <v>#REF!</v>
      </c>
      <c r="E146" s="161" t="e">
        <f>#REF!</f>
        <v>#REF!</v>
      </c>
      <c r="F146" s="161" t="e">
        <f>#REF!</f>
        <v>#REF!</v>
      </c>
      <c r="G146" s="161" t="e">
        <f>#REF!</f>
        <v>#REF!</v>
      </c>
      <c r="H146" s="161" t="e">
        <f>#REF!</f>
        <v>#REF!</v>
      </c>
    </row>
    <row r="147" spans="1:8" x14ac:dyDescent="0.3">
      <c r="A147" s="161" t="e">
        <f>#REF!</f>
        <v>#REF!</v>
      </c>
      <c r="B147" s="161" t="e">
        <f>#REF!</f>
        <v>#REF!</v>
      </c>
      <c r="C147" s="161" t="e">
        <f>#REF!</f>
        <v>#REF!</v>
      </c>
      <c r="D147" s="161" t="e">
        <f>#REF!</f>
        <v>#REF!</v>
      </c>
      <c r="E147" s="161" t="e">
        <f>#REF!</f>
        <v>#REF!</v>
      </c>
      <c r="F147" s="161" t="e">
        <f>#REF!</f>
        <v>#REF!</v>
      </c>
      <c r="G147" s="161" t="e">
        <f>#REF!</f>
        <v>#REF!</v>
      </c>
      <c r="H147" s="161" t="e">
        <f>#REF!</f>
        <v>#REF!</v>
      </c>
    </row>
    <row r="148" spans="1:8" x14ac:dyDescent="0.3">
      <c r="A148" s="161" t="e">
        <f>#REF!</f>
        <v>#REF!</v>
      </c>
      <c r="B148" s="161" t="e">
        <f>#REF!</f>
        <v>#REF!</v>
      </c>
      <c r="C148" s="161" t="e">
        <f>#REF!</f>
        <v>#REF!</v>
      </c>
      <c r="D148" s="161" t="e">
        <f>#REF!</f>
        <v>#REF!</v>
      </c>
      <c r="E148" s="161" t="e">
        <f>#REF!</f>
        <v>#REF!</v>
      </c>
      <c r="F148" s="161" t="e">
        <f>#REF!</f>
        <v>#REF!</v>
      </c>
      <c r="G148" s="161" t="e">
        <f>#REF!</f>
        <v>#REF!</v>
      </c>
      <c r="H148" s="161" t="e">
        <f>#REF!</f>
        <v>#REF!</v>
      </c>
    </row>
    <row r="149" spans="1:8" x14ac:dyDescent="0.3">
      <c r="A149" s="161" t="e">
        <f>#REF!</f>
        <v>#REF!</v>
      </c>
      <c r="B149" s="161" t="e">
        <f>#REF!</f>
        <v>#REF!</v>
      </c>
      <c r="C149" s="161" t="e">
        <f>#REF!</f>
        <v>#REF!</v>
      </c>
      <c r="D149" s="161" t="e">
        <f>#REF!</f>
        <v>#REF!</v>
      </c>
      <c r="E149" s="161" t="e">
        <f>#REF!</f>
        <v>#REF!</v>
      </c>
      <c r="F149" s="161" t="e">
        <f>#REF!</f>
        <v>#REF!</v>
      </c>
      <c r="G149" s="161" t="e">
        <f>#REF!</f>
        <v>#REF!</v>
      </c>
      <c r="H149" s="161" t="e">
        <f>#REF!</f>
        <v>#REF!</v>
      </c>
    </row>
    <row r="150" spans="1:8" x14ac:dyDescent="0.3">
      <c r="A150" s="161" t="e">
        <f>#REF!</f>
        <v>#REF!</v>
      </c>
      <c r="B150" s="161" t="e">
        <f>#REF!</f>
        <v>#REF!</v>
      </c>
      <c r="C150" s="161" t="e">
        <f>#REF!</f>
        <v>#REF!</v>
      </c>
      <c r="D150" s="161" t="e">
        <f>#REF!</f>
        <v>#REF!</v>
      </c>
      <c r="E150" s="161" t="e">
        <f>#REF!</f>
        <v>#REF!</v>
      </c>
      <c r="F150" s="161" t="e">
        <f>#REF!</f>
        <v>#REF!</v>
      </c>
      <c r="G150" s="161" t="e">
        <f>#REF!</f>
        <v>#REF!</v>
      </c>
      <c r="H150" s="161" t="e">
        <f>#REF!</f>
        <v>#REF!</v>
      </c>
    </row>
    <row r="151" spans="1:8" x14ac:dyDescent="0.3">
      <c r="A151" s="161" t="e">
        <f>#REF!</f>
        <v>#REF!</v>
      </c>
      <c r="B151" s="161" t="e">
        <f>#REF!</f>
        <v>#REF!</v>
      </c>
      <c r="C151" s="161" t="e">
        <f>#REF!</f>
        <v>#REF!</v>
      </c>
      <c r="D151" s="161" t="e">
        <f>#REF!</f>
        <v>#REF!</v>
      </c>
      <c r="E151" s="161" t="e">
        <f>#REF!</f>
        <v>#REF!</v>
      </c>
      <c r="F151" s="161" t="e">
        <f>#REF!</f>
        <v>#REF!</v>
      </c>
      <c r="G151" s="161" t="e">
        <f>#REF!</f>
        <v>#REF!</v>
      </c>
      <c r="H151" s="161" t="e">
        <f>#REF!</f>
        <v>#REF!</v>
      </c>
    </row>
    <row r="152" spans="1:8" x14ac:dyDescent="0.3">
      <c r="A152" s="161" t="e">
        <f>#REF!</f>
        <v>#REF!</v>
      </c>
      <c r="B152" s="161" t="e">
        <f>#REF!</f>
        <v>#REF!</v>
      </c>
      <c r="C152" s="161" t="e">
        <f>#REF!</f>
        <v>#REF!</v>
      </c>
      <c r="D152" s="161" t="e">
        <f>#REF!</f>
        <v>#REF!</v>
      </c>
      <c r="E152" s="161" t="e">
        <f>#REF!</f>
        <v>#REF!</v>
      </c>
      <c r="F152" s="161" t="e">
        <f>#REF!</f>
        <v>#REF!</v>
      </c>
      <c r="G152" s="161" t="e">
        <f>#REF!</f>
        <v>#REF!</v>
      </c>
      <c r="H152" s="161" t="e">
        <f>#REF!</f>
        <v>#REF!</v>
      </c>
    </row>
    <row r="153" spans="1:8" x14ac:dyDescent="0.3">
      <c r="A153" s="161" t="e">
        <f>#REF!</f>
        <v>#REF!</v>
      </c>
      <c r="B153" s="161" t="e">
        <f>#REF!</f>
        <v>#REF!</v>
      </c>
      <c r="C153" s="161" t="e">
        <f>#REF!</f>
        <v>#REF!</v>
      </c>
      <c r="D153" s="161" t="e">
        <f>#REF!</f>
        <v>#REF!</v>
      </c>
      <c r="E153" s="161" t="e">
        <f>#REF!</f>
        <v>#REF!</v>
      </c>
      <c r="F153" s="161" t="e">
        <f>#REF!</f>
        <v>#REF!</v>
      </c>
      <c r="G153" s="161" t="e">
        <f>#REF!</f>
        <v>#REF!</v>
      </c>
      <c r="H153" s="161" t="e">
        <f>#REF!</f>
        <v>#REF!</v>
      </c>
    </row>
    <row r="154" spans="1:8" x14ac:dyDescent="0.3">
      <c r="A154" s="161" t="e">
        <f>#REF!</f>
        <v>#REF!</v>
      </c>
      <c r="B154" s="161" t="e">
        <f>#REF!</f>
        <v>#REF!</v>
      </c>
      <c r="C154" s="161" t="e">
        <f>#REF!</f>
        <v>#REF!</v>
      </c>
      <c r="D154" s="161" t="e">
        <f>#REF!</f>
        <v>#REF!</v>
      </c>
      <c r="E154" s="161" t="e">
        <f>#REF!</f>
        <v>#REF!</v>
      </c>
      <c r="F154" s="161" t="e">
        <f>#REF!</f>
        <v>#REF!</v>
      </c>
      <c r="G154" s="161" t="e">
        <f>#REF!</f>
        <v>#REF!</v>
      </c>
      <c r="H154" s="161" t="e">
        <f>#REF!</f>
        <v>#REF!</v>
      </c>
    </row>
    <row r="155" spans="1:8" x14ac:dyDescent="0.3">
      <c r="A155" s="161" t="e">
        <f>#REF!</f>
        <v>#REF!</v>
      </c>
      <c r="B155" s="161" t="e">
        <f>#REF!</f>
        <v>#REF!</v>
      </c>
      <c r="C155" s="161" t="e">
        <f>#REF!</f>
        <v>#REF!</v>
      </c>
      <c r="D155" s="161" t="e">
        <f>#REF!</f>
        <v>#REF!</v>
      </c>
      <c r="E155" s="161" t="e">
        <f>#REF!</f>
        <v>#REF!</v>
      </c>
      <c r="F155" s="161" t="e">
        <f>#REF!</f>
        <v>#REF!</v>
      </c>
      <c r="G155" s="161" t="e">
        <f>#REF!</f>
        <v>#REF!</v>
      </c>
      <c r="H155" s="161" t="e">
        <f>#REF!</f>
        <v>#REF!</v>
      </c>
    </row>
    <row r="156" spans="1:8" x14ac:dyDescent="0.3">
      <c r="A156" s="161" t="e">
        <f>#REF!</f>
        <v>#REF!</v>
      </c>
      <c r="B156" s="161" t="e">
        <f>#REF!</f>
        <v>#REF!</v>
      </c>
      <c r="C156" s="161" t="e">
        <f>#REF!</f>
        <v>#REF!</v>
      </c>
      <c r="D156" s="161" t="e">
        <f>#REF!</f>
        <v>#REF!</v>
      </c>
      <c r="E156" s="161" t="e">
        <f>#REF!</f>
        <v>#REF!</v>
      </c>
      <c r="F156" s="161" t="e">
        <f>#REF!</f>
        <v>#REF!</v>
      </c>
      <c r="G156" s="161" t="e">
        <f>#REF!</f>
        <v>#REF!</v>
      </c>
      <c r="H156" s="161" t="e">
        <f>#REF!</f>
        <v>#REF!</v>
      </c>
    </row>
    <row r="157" spans="1:8" x14ac:dyDescent="0.3">
      <c r="A157" s="161" t="e">
        <f>#REF!</f>
        <v>#REF!</v>
      </c>
      <c r="B157" s="161" t="e">
        <f>#REF!</f>
        <v>#REF!</v>
      </c>
      <c r="C157" s="161" t="e">
        <f>#REF!</f>
        <v>#REF!</v>
      </c>
      <c r="D157" s="161" t="e">
        <f>#REF!</f>
        <v>#REF!</v>
      </c>
      <c r="E157" s="161" t="e">
        <f>#REF!</f>
        <v>#REF!</v>
      </c>
      <c r="F157" s="161" t="e">
        <f>#REF!</f>
        <v>#REF!</v>
      </c>
      <c r="G157" s="161" t="e">
        <f>#REF!</f>
        <v>#REF!</v>
      </c>
      <c r="H157" s="161" t="e">
        <f>#REF!</f>
        <v>#REF!</v>
      </c>
    </row>
    <row r="158" spans="1:8" x14ac:dyDescent="0.3">
      <c r="A158" s="161" t="e">
        <f>#REF!</f>
        <v>#REF!</v>
      </c>
      <c r="B158" s="161" t="e">
        <f>#REF!</f>
        <v>#REF!</v>
      </c>
      <c r="C158" s="161" t="e">
        <f>#REF!</f>
        <v>#REF!</v>
      </c>
      <c r="D158" s="161" t="e">
        <f>#REF!</f>
        <v>#REF!</v>
      </c>
      <c r="E158" s="161" t="e">
        <f>#REF!</f>
        <v>#REF!</v>
      </c>
      <c r="F158" s="161" t="e">
        <f>#REF!</f>
        <v>#REF!</v>
      </c>
      <c r="G158" s="161" t="e">
        <f>#REF!</f>
        <v>#REF!</v>
      </c>
      <c r="H158" s="161" t="e">
        <f>#REF!</f>
        <v>#REF!</v>
      </c>
    </row>
    <row r="159" spans="1:8" x14ac:dyDescent="0.3">
      <c r="A159" s="161" t="e">
        <f>#REF!</f>
        <v>#REF!</v>
      </c>
      <c r="B159" s="161" t="e">
        <f>#REF!</f>
        <v>#REF!</v>
      </c>
      <c r="C159" s="161" t="e">
        <f>#REF!</f>
        <v>#REF!</v>
      </c>
      <c r="D159" s="161" t="e">
        <f>#REF!</f>
        <v>#REF!</v>
      </c>
      <c r="E159" s="161" t="e">
        <f>#REF!</f>
        <v>#REF!</v>
      </c>
      <c r="F159" s="161" t="e">
        <f>#REF!</f>
        <v>#REF!</v>
      </c>
      <c r="G159" s="161" t="e">
        <f>#REF!</f>
        <v>#REF!</v>
      </c>
      <c r="H159" s="161" t="e">
        <f>#REF!</f>
        <v>#REF!</v>
      </c>
    </row>
    <row r="160" spans="1:8" x14ac:dyDescent="0.3">
      <c r="A160" s="161" t="e">
        <f>#REF!</f>
        <v>#REF!</v>
      </c>
      <c r="B160" s="161" t="e">
        <f>#REF!</f>
        <v>#REF!</v>
      </c>
      <c r="C160" s="161" t="e">
        <f>#REF!</f>
        <v>#REF!</v>
      </c>
      <c r="D160" s="161" t="e">
        <f>#REF!</f>
        <v>#REF!</v>
      </c>
      <c r="E160" s="161" t="e">
        <f>#REF!</f>
        <v>#REF!</v>
      </c>
      <c r="F160" s="161" t="e">
        <f>#REF!</f>
        <v>#REF!</v>
      </c>
      <c r="G160" s="161" t="e">
        <f>#REF!</f>
        <v>#REF!</v>
      </c>
      <c r="H160" s="161" t="e">
        <f>#REF!</f>
        <v>#REF!</v>
      </c>
    </row>
    <row r="161" spans="1:8" x14ac:dyDescent="0.3">
      <c r="A161" s="161" t="e">
        <f>#REF!</f>
        <v>#REF!</v>
      </c>
      <c r="B161" s="161" t="e">
        <f>#REF!</f>
        <v>#REF!</v>
      </c>
      <c r="C161" s="161" t="e">
        <f>#REF!</f>
        <v>#REF!</v>
      </c>
      <c r="D161" s="161" t="e">
        <f>#REF!</f>
        <v>#REF!</v>
      </c>
      <c r="E161" s="161" t="e">
        <f>#REF!</f>
        <v>#REF!</v>
      </c>
      <c r="F161" s="161" t="e">
        <f>#REF!</f>
        <v>#REF!</v>
      </c>
      <c r="G161" s="161" t="e">
        <f>#REF!</f>
        <v>#REF!</v>
      </c>
      <c r="H161" s="161" t="e">
        <f>#REF!</f>
        <v>#REF!</v>
      </c>
    </row>
    <row r="162" spans="1:8" x14ac:dyDescent="0.3">
      <c r="A162" s="161" t="e">
        <f>#REF!</f>
        <v>#REF!</v>
      </c>
      <c r="B162" s="161" t="e">
        <f>#REF!</f>
        <v>#REF!</v>
      </c>
      <c r="C162" s="161" t="e">
        <f>#REF!</f>
        <v>#REF!</v>
      </c>
      <c r="D162" s="161" t="e">
        <f>#REF!</f>
        <v>#REF!</v>
      </c>
      <c r="E162" s="161" t="e">
        <f>#REF!</f>
        <v>#REF!</v>
      </c>
      <c r="F162" s="161" t="e">
        <f>#REF!</f>
        <v>#REF!</v>
      </c>
      <c r="G162" s="161" t="e">
        <f>#REF!</f>
        <v>#REF!</v>
      </c>
      <c r="H162" s="161" t="e">
        <f>#REF!</f>
        <v>#REF!</v>
      </c>
    </row>
    <row r="163" spans="1:8" x14ac:dyDescent="0.3">
      <c r="A163" s="161" t="e">
        <f>#REF!</f>
        <v>#REF!</v>
      </c>
      <c r="B163" s="161" t="e">
        <f>#REF!</f>
        <v>#REF!</v>
      </c>
      <c r="C163" s="161" t="e">
        <f>#REF!</f>
        <v>#REF!</v>
      </c>
      <c r="D163" s="161" t="e">
        <f>#REF!</f>
        <v>#REF!</v>
      </c>
      <c r="E163" s="161" t="e">
        <f>#REF!</f>
        <v>#REF!</v>
      </c>
      <c r="F163" s="161" t="e">
        <f>#REF!</f>
        <v>#REF!</v>
      </c>
      <c r="G163" s="161" t="e">
        <f>#REF!</f>
        <v>#REF!</v>
      </c>
      <c r="H163" s="161" t="e">
        <f>#REF!</f>
        <v>#REF!</v>
      </c>
    </row>
    <row r="164" spans="1:8" x14ac:dyDescent="0.3">
      <c r="A164" s="161" t="e">
        <f>#REF!</f>
        <v>#REF!</v>
      </c>
      <c r="B164" s="161" t="e">
        <f>#REF!</f>
        <v>#REF!</v>
      </c>
      <c r="C164" s="161" t="e">
        <f>#REF!</f>
        <v>#REF!</v>
      </c>
      <c r="D164" s="161" t="e">
        <f>#REF!</f>
        <v>#REF!</v>
      </c>
      <c r="E164" s="161" t="e">
        <f>#REF!</f>
        <v>#REF!</v>
      </c>
      <c r="F164" s="161" t="e">
        <f>#REF!</f>
        <v>#REF!</v>
      </c>
      <c r="G164" s="161" t="e">
        <f>#REF!</f>
        <v>#REF!</v>
      </c>
      <c r="H164" s="161" t="e">
        <f>#REF!</f>
        <v>#REF!</v>
      </c>
    </row>
    <row r="165" spans="1:8" x14ac:dyDescent="0.3">
      <c r="A165" s="161" t="e">
        <f>#REF!</f>
        <v>#REF!</v>
      </c>
      <c r="B165" s="161" t="e">
        <f>#REF!</f>
        <v>#REF!</v>
      </c>
      <c r="C165" s="161" t="e">
        <f>#REF!</f>
        <v>#REF!</v>
      </c>
      <c r="D165" s="161" t="e">
        <f>#REF!</f>
        <v>#REF!</v>
      </c>
      <c r="E165" s="161" t="e">
        <f>#REF!</f>
        <v>#REF!</v>
      </c>
      <c r="F165" s="161" t="e">
        <f>#REF!</f>
        <v>#REF!</v>
      </c>
      <c r="G165" s="161" t="e">
        <f>#REF!</f>
        <v>#REF!</v>
      </c>
      <c r="H165" s="161" t="e">
        <f>#REF!</f>
        <v>#REF!</v>
      </c>
    </row>
    <row r="166" spans="1:8" x14ac:dyDescent="0.3">
      <c r="A166" s="161" t="e">
        <f>#REF!</f>
        <v>#REF!</v>
      </c>
      <c r="B166" s="161" t="e">
        <f>#REF!</f>
        <v>#REF!</v>
      </c>
      <c r="C166" s="161" t="e">
        <f>#REF!</f>
        <v>#REF!</v>
      </c>
      <c r="D166" s="161" t="e">
        <f>#REF!</f>
        <v>#REF!</v>
      </c>
      <c r="E166" s="161" t="e">
        <f>#REF!</f>
        <v>#REF!</v>
      </c>
      <c r="F166" s="161" t="e">
        <f>#REF!</f>
        <v>#REF!</v>
      </c>
      <c r="G166" s="161" t="e">
        <f>#REF!</f>
        <v>#REF!</v>
      </c>
      <c r="H166" s="161" t="e">
        <f>#REF!</f>
        <v>#REF!</v>
      </c>
    </row>
    <row r="167" spans="1:8" x14ac:dyDescent="0.3">
      <c r="A167" s="161" t="e">
        <f>#REF!</f>
        <v>#REF!</v>
      </c>
      <c r="B167" s="161" t="e">
        <f>#REF!</f>
        <v>#REF!</v>
      </c>
      <c r="C167" s="161" t="e">
        <f>#REF!</f>
        <v>#REF!</v>
      </c>
      <c r="D167" s="161" t="e">
        <f>#REF!</f>
        <v>#REF!</v>
      </c>
      <c r="E167" s="161" t="e">
        <f>#REF!</f>
        <v>#REF!</v>
      </c>
      <c r="F167" s="161" t="e">
        <f>#REF!</f>
        <v>#REF!</v>
      </c>
      <c r="G167" s="161" t="e">
        <f>#REF!</f>
        <v>#REF!</v>
      </c>
      <c r="H167" s="161" t="e">
        <f>#REF!</f>
        <v>#REF!</v>
      </c>
    </row>
    <row r="168" spans="1:8" x14ac:dyDescent="0.3">
      <c r="A168" s="161" t="e">
        <f>#REF!</f>
        <v>#REF!</v>
      </c>
      <c r="B168" s="161" t="e">
        <f>#REF!</f>
        <v>#REF!</v>
      </c>
      <c r="C168" s="161" t="e">
        <f>#REF!</f>
        <v>#REF!</v>
      </c>
      <c r="D168" s="161" t="e">
        <f>#REF!</f>
        <v>#REF!</v>
      </c>
      <c r="E168" s="161" t="e">
        <f>#REF!</f>
        <v>#REF!</v>
      </c>
      <c r="F168" s="161" t="e">
        <f>#REF!</f>
        <v>#REF!</v>
      </c>
      <c r="G168" s="161" t="e">
        <f>#REF!</f>
        <v>#REF!</v>
      </c>
      <c r="H168" s="161" t="e">
        <f>#REF!</f>
        <v>#REF!</v>
      </c>
    </row>
    <row r="169" spans="1:8" x14ac:dyDescent="0.3">
      <c r="A169" s="161" t="e">
        <f>#REF!</f>
        <v>#REF!</v>
      </c>
      <c r="B169" s="161" t="e">
        <f>#REF!</f>
        <v>#REF!</v>
      </c>
      <c r="C169" s="161" t="e">
        <f>#REF!</f>
        <v>#REF!</v>
      </c>
      <c r="D169" s="161" t="e">
        <f>#REF!</f>
        <v>#REF!</v>
      </c>
      <c r="E169" s="161" t="e">
        <f>#REF!</f>
        <v>#REF!</v>
      </c>
      <c r="F169" s="161" t="e">
        <f>#REF!</f>
        <v>#REF!</v>
      </c>
      <c r="G169" s="161" t="e">
        <f>#REF!</f>
        <v>#REF!</v>
      </c>
      <c r="H169" s="161" t="e">
        <f>#REF!</f>
        <v>#REF!</v>
      </c>
    </row>
    <row r="170" spans="1:8" x14ac:dyDescent="0.3">
      <c r="A170" s="161" t="e">
        <f>#REF!</f>
        <v>#REF!</v>
      </c>
      <c r="B170" s="161" t="e">
        <f>#REF!</f>
        <v>#REF!</v>
      </c>
      <c r="C170" s="161" t="e">
        <f>#REF!</f>
        <v>#REF!</v>
      </c>
      <c r="D170" s="161" t="e">
        <f>#REF!</f>
        <v>#REF!</v>
      </c>
      <c r="E170" s="161" t="e">
        <f>#REF!</f>
        <v>#REF!</v>
      </c>
      <c r="F170" s="161" t="e">
        <f>#REF!</f>
        <v>#REF!</v>
      </c>
      <c r="G170" s="161" t="e">
        <f>#REF!</f>
        <v>#REF!</v>
      </c>
      <c r="H170" s="161" t="e">
        <f>#REF!</f>
        <v>#REF!</v>
      </c>
    </row>
    <row r="171" spans="1:8" x14ac:dyDescent="0.3">
      <c r="A171" s="161" t="e">
        <f>#REF!</f>
        <v>#REF!</v>
      </c>
      <c r="B171" s="161" t="e">
        <f>#REF!</f>
        <v>#REF!</v>
      </c>
      <c r="C171" s="161" t="e">
        <f>#REF!</f>
        <v>#REF!</v>
      </c>
      <c r="D171" s="161" t="e">
        <f>#REF!</f>
        <v>#REF!</v>
      </c>
      <c r="E171" s="161" t="e">
        <f>#REF!</f>
        <v>#REF!</v>
      </c>
      <c r="F171" s="161" t="e">
        <f>#REF!</f>
        <v>#REF!</v>
      </c>
      <c r="G171" s="161" t="e">
        <f>#REF!</f>
        <v>#REF!</v>
      </c>
      <c r="H171" s="161" t="e">
        <f>#REF!</f>
        <v>#REF!</v>
      </c>
    </row>
    <row r="172" spans="1:8" x14ac:dyDescent="0.3">
      <c r="A172" s="161" t="e">
        <f>#REF!</f>
        <v>#REF!</v>
      </c>
      <c r="B172" s="161" t="e">
        <f>#REF!</f>
        <v>#REF!</v>
      </c>
      <c r="C172" s="161" t="e">
        <f>#REF!</f>
        <v>#REF!</v>
      </c>
      <c r="D172" s="161" t="e">
        <f>#REF!</f>
        <v>#REF!</v>
      </c>
      <c r="E172" s="161" t="e">
        <f>#REF!</f>
        <v>#REF!</v>
      </c>
      <c r="F172" s="161" t="e">
        <f>#REF!</f>
        <v>#REF!</v>
      </c>
      <c r="G172" s="161" t="e">
        <f>#REF!</f>
        <v>#REF!</v>
      </c>
      <c r="H172" s="161" t="e">
        <f>#REF!</f>
        <v>#REF!</v>
      </c>
    </row>
    <row r="173" spans="1:8" x14ac:dyDescent="0.3">
      <c r="A173" s="161" t="e">
        <f>#REF!</f>
        <v>#REF!</v>
      </c>
      <c r="B173" s="161" t="e">
        <f>#REF!</f>
        <v>#REF!</v>
      </c>
      <c r="C173" s="161" t="e">
        <f>#REF!</f>
        <v>#REF!</v>
      </c>
      <c r="D173" s="161" t="e">
        <f>#REF!</f>
        <v>#REF!</v>
      </c>
      <c r="E173" s="161" t="e">
        <f>#REF!</f>
        <v>#REF!</v>
      </c>
      <c r="F173" s="161" t="e">
        <f>#REF!</f>
        <v>#REF!</v>
      </c>
      <c r="G173" s="161" t="e">
        <f>#REF!</f>
        <v>#REF!</v>
      </c>
      <c r="H173" s="161" t="e">
        <f>#REF!</f>
        <v>#REF!</v>
      </c>
    </row>
    <row r="174" spans="1:8" x14ac:dyDescent="0.3">
      <c r="A174" s="161" t="e">
        <f>#REF!</f>
        <v>#REF!</v>
      </c>
      <c r="B174" s="161" t="e">
        <f>#REF!</f>
        <v>#REF!</v>
      </c>
      <c r="C174" s="161" t="e">
        <f>#REF!</f>
        <v>#REF!</v>
      </c>
      <c r="D174" s="161" t="e">
        <f>#REF!</f>
        <v>#REF!</v>
      </c>
      <c r="E174" s="161" t="e">
        <f>#REF!</f>
        <v>#REF!</v>
      </c>
      <c r="F174" s="161" t="e">
        <f>#REF!</f>
        <v>#REF!</v>
      </c>
      <c r="G174" s="161" t="e">
        <f>#REF!</f>
        <v>#REF!</v>
      </c>
      <c r="H174" s="161" t="e">
        <f>#REF!</f>
        <v>#REF!</v>
      </c>
    </row>
    <row r="175" spans="1:8" x14ac:dyDescent="0.3">
      <c r="A175" s="161" t="e">
        <f>#REF!</f>
        <v>#REF!</v>
      </c>
      <c r="B175" s="161" t="e">
        <f>#REF!</f>
        <v>#REF!</v>
      </c>
      <c r="C175" s="161" t="e">
        <f>#REF!</f>
        <v>#REF!</v>
      </c>
      <c r="D175" s="161" t="e">
        <f>#REF!</f>
        <v>#REF!</v>
      </c>
      <c r="E175" s="161" t="e">
        <f>#REF!</f>
        <v>#REF!</v>
      </c>
      <c r="F175" s="161" t="e">
        <f>#REF!</f>
        <v>#REF!</v>
      </c>
      <c r="G175" s="161" t="e">
        <f>#REF!</f>
        <v>#REF!</v>
      </c>
      <c r="H175" s="161" t="e">
        <f>#REF!</f>
        <v>#REF!</v>
      </c>
    </row>
    <row r="176" spans="1:8" x14ac:dyDescent="0.3">
      <c r="A176" s="161" t="e">
        <f>#REF!</f>
        <v>#REF!</v>
      </c>
      <c r="B176" s="161" t="e">
        <f>#REF!</f>
        <v>#REF!</v>
      </c>
      <c r="C176" s="161" t="e">
        <f>#REF!</f>
        <v>#REF!</v>
      </c>
      <c r="D176" s="161" t="e">
        <f>#REF!</f>
        <v>#REF!</v>
      </c>
      <c r="E176" s="161" t="e">
        <f>#REF!</f>
        <v>#REF!</v>
      </c>
      <c r="F176" s="161" t="e">
        <f>#REF!</f>
        <v>#REF!</v>
      </c>
      <c r="G176" s="161" t="e">
        <f>#REF!</f>
        <v>#REF!</v>
      </c>
      <c r="H176" s="161" t="e">
        <f>#REF!</f>
        <v>#REF!</v>
      </c>
    </row>
    <row r="177" spans="1:8" x14ac:dyDescent="0.3">
      <c r="A177" s="161" t="e">
        <f>#REF!</f>
        <v>#REF!</v>
      </c>
      <c r="B177" s="161" t="e">
        <f>#REF!</f>
        <v>#REF!</v>
      </c>
      <c r="C177" s="161" t="e">
        <f>#REF!</f>
        <v>#REF!</v>
      </c>
      <c r="D177" s="161" t="e">
        <f>#REF!</f>
        <v>#REF!</v>
      </c>
      <c r="E177" s="161" t="e">
        <f>#REF!</f>
        <v>#REF!</v>
      </c>
      <c r="F177" s="161" t="e">
        <f>#REF!</f>
        <v>#REF!</v>
      </c>
      <c r="G177" s="161" t="e">
        <f>#REF!</f>
        <v>#REF!</v>
      </c>
      <c r="H177" s="161" t="e">
        <f>#REF!</f>
        <v>#REF!</v>
      </c>
    </row>
    <row r="178" spans="1:8" x14ac:dyDescent="0.3">
      <c r="A178" s="161" t="e">
        <f>#REF!</f>
        <v>#REF!</v>
      </c>
      <c r="B178" s="161" t="e">
        <f>#REF!</f>
        <v>#REF!</v>
      </c>
      <c r="C178" s="161" t="e">
        <f>#REF!</f>
        <v>#REF!</v>
      </c>
      <c r="D178" s="161" t="e">
        <f>#REF!</f>
        <v>#REF!</v>
      </c>
      <c r="E178" s="161" t="e">
        <f>#REF!</f>
        <v>#REF!</v>
      </c>
      <c r="F178" s="161" t="e">
        <f>#REF!</f>
        <v>#REF!</v>
      </c>
      <c r="G178" s="161" t="e">
        <f>#REF!</f>
        <v>#REF!</v>
      </c>
      <c r="H178" s="161" t="e">
        <f>#REF!</f>
        <v>#REF!</v>
      </c>
    </row>
    <row r="179" spans="1:8" x14ac:dyDescent="0.3">
      <c r="A179" s="161" t="e">
        <f>#REF!</f>
        <v>#REF!</v>
      </c>
      <c r="B179" s="161" t="e">
        <f>#REF!</f>
        <v>#REF!</v>
      </c>
      <c r="C179" s="161" t="e">
        <f>#REF!</f>
        <v>#REF!</v>
      </c>
      <c r="D179" s="161" t="e">
        <f>#REF!</f>
        <v>#REF!</v>
      </c>
      <c r="E179" s="161" t="e">
        <f>#REF!</f>
        <v>#REF!</v>
      </c>
      <c r="F179" s="161" t="e">
        <f>#REF!</f>
        <v>#REF!</v>
      </c>
      <c r="G179" s="161" t="e">
        <f>#REF!</f>
        <v>#REF!</v>
      </c>
      <c r="H179" s="161" t="e">
        <f>#REF!</f>
        <v>#REF!</v>
      </c>
    </row>
    <row r="180" spans="1:8" x14ac:dyDescent="0.3">
      <c r="A180" s="161" t="e">
        <f>#REF!</f>
        <v>#REF!</v>
      </c>
      <c r="B180" s="161" t="e">
        <f>#REF!</f>
        <v>#REF!</v>
      </c>
      <c r="C180" s="161" t="e">
        <f>#REF!</f>
        <v>#REF!</v>
      </c>
      <c r="D180" s="161" t="e">
        <f>#REF!</f>
        <v>#REF!</v>
      </c>
      <c r="E180" s="161" t="e">
        <f>#REF!</f>
        <v>#REF!</v>
      </c>
      <c r="F180" s="161" t="e">
        <f>#REF!</f>
        <v>#REF!</v>
      </c>
      <c r="G180" s="161" t="e">
        <f>#REF!</f>
        <v>#REF!</v>
      </c>
      <c r="H180" s="161" t="e">
        <f>#REF!</f>
        <v>#REF!</v>
      </c>
    </row>
    <row r="181" spans="1:8" x14ac:dyDescent="0.3">
      <c r="A181" s="161" t="e">
        <f>#REF!</f>
        <v>#REF!</v>
      </c>
      <c r="B181" s="161" t="e">
        <f>#REF!</f>
        <v>#REF!</v>
      </c>
      <c r="C181" s="161" t="e">
        <f>#REF!</f>
        <v>#REF!</v>
      </c>
      <c r="D181" s="161" t="e">
        <f>#REF!</f>
        <v>#REF!</v>
      </c>
      <c r="E181" s="161" t="e">
        <f>#REF!</f>
        <v>#REF!</v>
      </c>
      <c r="F181" s="161" t="e">
        <f>#REF!</f>
        <v>#REF!</v>
      </c>
      <c r="G181" s="161" t="e">
        <f>#REF!</f>
        <v>#REF!</v>
      </c>
      <c r="H181" s="161" t="e">
        <f>#REF!</f>
        <v>#REF!</v>
      </c>
    </row>
    <row r="182" spans="1:8" x14ac:dyDescent="0.3">
      <c r="A182" s="161" t="e">
        <f>#REF!</f>
        <v>#REF!</v>
      </c>
      <c r="B182" s="161" t="e">
        <f>#REF!</f>
        <v>#REF!</v>
      </c>
      <c r="C182" s="161" t="e">
        <f>#REF!</f>
        <v>#REF!</v>
      </c>
      <c r="D182" s="161" t="e">
        <f>#REF!</f>
        <v>#REF!</v>
      </c>
      <c r="E182" s="161" t="e">
        <f>#REF!</f>
        <v>#REF!</v>
      </c>
      <c r="F182" s="161" t="e">
        <f>#REF!</f>
        <v>#REF!</v>
      </c>
      <c r="G182" s="161" t="e">
        <f>#REF!</f>
        <v>#REF!</v>
      </c>
      <c r="H182" s="161" t="e">
        <f>#REF!</f>
        <v>#REF!</v>
      </c>
    </row>
    <row r="183" spans="1:8" x14ac:dyDescent="0.3">
      <c r="A183" s="161" t="e">
        <f>#REF!</f>
        <v>#REF!</v>
      </c>
      <c r="B183" s="161" t="e">
        <f>#REF!</f>
        <v>#REF!</v>
      </c>
      <c r="C183" s="161" t="e">
        <f>#REF!</f>
        <v>#REF!</v>
      </c>
      <c r="D183" s="161" t="e">
        <f>#REF!</f>
        <v>#REF!</v>
      </c>
      <c r="E183" s="161" t="e">
        <f>#REF!</f>
        <v>#REF!</v>
      </c>
      <c r="F183" s="161" t="e">
        <f>#REF!</f>
        <v>#REF!</v>
      </c>
      <c r="G183" s="161" t="e">
        <f>#REF!</f>
        <v>#REF!</v>
      </c>
      <c r="H183" s="161" t="e">
        <f>#REF!</f>
        <v>#REF!</v>
      </c>
    </row>
    <row r="184" spans="1:8" x14ac:dyDescent="0.3">
      <c r="A184" s="161" t="e">
        <f>#REF!</f>
        <v>#REF!</v>
      </c>
      <c r="B184" s="161" t="e">
        <f>#REF!</f>
        <v>#REF!</v>
      </c>
      <c r="C184" s="161" t="e">
        <f>#REF!</f>
        <v>#REF!</v>
      </c>
      <c r="D184" s="161" t="e">
        <f>#REF!</f>
        <v>#REF!</v>
      </c>
      <c r="E184" s="161" t="e">
        <f>#REF!</f>
        <v>#REF!</v>
      </c>
      <c r="F184" s="161" t="e">
        <f>#REF!</f>
        <v>#REF!</v>
      </c>
      <c r="G184" s="161" t="e">
        <f>#REF!</f>
        <v>#REF!</v>
      </c>
      <c r="H184" s="161" t="e">
        <f>#REF!</f>
        <v>#REF!</v>
      </c>
    </row>
    <row r="185" spans="1:8" x14ac:dyDescent="0.3">
      <c r="A185" s="161" t="e">
        <f>#REF!</f>
        <v>#REF!</v>
      </c>
      <c r="B185" s="161" t="e">
        <f>#REF!</f>
        <v>#REF!</v>
      </c>
      <c r="C185" s="161" t="e">
        <f>#REF!</f>
        <v>#REF!</v>
      </c>
      <c r="D185" s="161" t="e">
        <f>#REF!</f>
        <v>#REF!</v>
      </c>
      <c r="E185" s="161" t="e">
        <f>#REF!</f>
        <v>#REF!</v>
      </c>
      <c r="F185" s="161" t="e">
        <f>#REF!</f>
        <v>#REF!</v>
      </c>
      <c r="G185" s="161" t="e">
        <f>#REF!</f>
        <v>#REF!</v>
      </c>
      <c r="H185" s="161" t="e">
        <f>#REF!</f>
        <v>#REF!</v>
      </c>
    </row>
    <row r="186" spans="1:8" x14ac:dyDescent="0.3">
      <c r="A186" s="161" t="e">
        <f>#REF!</f>
        <v>#REF!</v>
      </c>
      <c r="B186" s="161" t="e">
        <f>#REF!</f>
        <v>#REF!</v>
      </c>
      <c r="C186" s="161" t="e">
        <f>#REF!</f>
        <v>#REF!</v>
      </c>
      <c r="D186" s="161" t="e">
        <f>#REF!</f>
        <v>#REF!</v>
      </c>
      <c r="E186" s="161" t="e">
        <f>#REF!</f>
        <v>#REF!</v>
      </c>
      <c r="F186" s="161" t="e">
        <f>#REF!</f>
        <v>#REF!</v>
      </c>
      <c r="G186" s="161" t="e">
        <f>#REF!</f>
        <v>#REF!</v>
      </c>
      <c r="H186" s="161" t="e">
        <f>#REF!</f>
        <v>#REF!</v>
      </c>
    </row>
    <row r="187" spans="1:8" x14ac:dyDescent="0.3">
      <c r="A187" s="161" t="e">
        <f>#REF!</f>
        <v>#REF!</v>
      </c>
      <c r="B187" s="161" t="e">
        <f>#REF!</f>
        <v>#REF!</v>
      </c>
      <c r="C187" s="161" t="e">
        <f>#REF!</f>
        <v>#REF!</v>
      </c>
      <c r="D187" s="161" t="e">
        <f>#REF!</f>
        <v>#REF!</v>
      </c>
      <c r="E187" s="161" t="e">
        <f>#REF!</f>
        <v>#REF!</v>
      </c>
      <c r="F187" s="161" t="e">
        <f>#REF!</f>
        <v>#REF!</v>
      </c>
      <c r="G187" s="161" t="e">
        <f>#REF!</f>
        <v>#REF!</v>
      </c>
      <c r="H187" s="161" t="e">
        <f>#REF!</f>
        <v>#REF!</v>
      </c>
    </row>
    <row r="188" spans="1:8" x14ac:dyDescent="0.3">
      <c r="A188" s="161" t="e">
        <f>#REF!</f>
        <v>#REF!</v>
      </c>
      <c r="B188" s="161" t="e">
        <f>#REF!</f>
        <v>#REF!</v>
      </c>
      <c r="C188" s="161" t="e">
        <f>#REF!</f>
        <v>#REF!</v>
      </c>
      <c r="D188" s="161" t="e">
        <f>#REF!</f>
        <v>#REF!</v>
      </c>
      <c r="E188" s="161" t="e">
        <f>#REF!</f>
        <v>#REF!</v>
      </c>
      <c r="F188" s="161" t="e">
        <f>#REF!</f>
        <v>#REF!</v>
      </c>
      <c r="G188" s="161" t="e">
        <f>#REF!</f>
        <v>#REF!</v>
      </c>
      <c r="H188" s="161" t="e">
        <f>#REF!</f>
        <v>#REF!</v>
      </c>
    </row>
    <row r="189" spans="1:8" x14ac:dyDescent="0.3">
      <c r="A189" s="161" t="e">
        <f>#REF!</f>
        <v>#REF!</v>
      </c>
      <c r="B189" s="161" t="e">
        <f>#REF!</f>
        <v>#REF!</v>
      </c>
      <c r="C189" s="161" t="e">
        <f>#REF!</f>
        <v>#REF!</v>
      </c>
      <c r="D189" s="161" t="e">
        <f>#REF!</f>
        <v>#REF!</v>
      </c>
      <c r="E189" s="161" t="e">
        <f>#REF!</f>
        <v>#REF!</v>
      </c>
      <c r="F189" s="161" t="e">
        <f>#REF!</f>
        <v>#REF!</v>
      </c>
      <c r="G189" s="161" t="e">
        <f>#REF!</f>
        <v>#REF!</v>
      </c>
      <c r="H189" s="161" t="e">
        <f>#REF!</f>
        <v>#REF!</v>
      </c>
    </row>
    <row r="190" spans="1:8" x14ac:dyDescent="0.3">
      <c r="A190" s="161" t="e">
        <f>#REF!</f>
        <v>#REF!</v>
      </c>
      <c r="B190" s="161" t="e">
        <f>#REF!</f>
        <v>#REF!</v>
      </c>
      <c r="C190" s="161" t="e">
        <f>#REF!</f>
        <v>#REF!</v>
      </c>
      <c r="D190" s="161" t="e">
        <f>#REF!</f>
        <v>#REF!</v>
      </c>
      <c r="E190" s="161" t="e">
        <f>#REF!</f>
        <v>#REF!</v>
      </c>
      <c r="F190" s="161" t="e">
        <f>#REF!</f>
        <v>#REF!</v>
      </c>
      <c r="G190" s="161" t="e">
        <f>#REF!</f>
        <v>#REF!</v>
      </c>
      <c r="H190" s="161" t="e">
        <f>#REF!</f>
        <v>#REF!</v>
      </c>
    </row>
    <row r="191" spans="1:8" x14ac:dyDescent="0.3">
      <c r="A191" s="161" t="e">
        <f>#REF!</f>
        <v>#REF!</v>
      </c>
      <c r="B191" s="161" t="e">
        <f>#REF!</f>
        <v>#REF!</v>
      </c>
      <c r="C191" s="161" t="e">
        <f>#REF!</f>
        <v>#REF!</v>
      </c>
      <c r="D191" s="161" t="e">
        <f>#REF!</f>
        <v>#REF!</v>
      </c>
      <c r="E191" s="161" t="e">
        <f>#REF!</f>
        <v>#REF!</v>
      </c>
      <c r="F191" s="161" t="e">
        <f>#REF!</f>
        <v>#REF!</v>
      </c>
      <c r="G191" s="161" t="e">
        <f>#REF!</f>
        <v>#REF!</v>
      </c>
      <c r="H191" s="161" t="e">
        <f>#REF!</f>
        <v>#REF!</v>
      </c>
    </row>
    <row r="192" spans="1:8" x14ac:dyDescent="0.3">
      <c r="A192" s="161" t="e">
        <f>#REF!</f>
        <v>#REF!</v>
      </c>
      <c r="B192" s="161" t="e">
        <f>#REF!</f>
        <v>#REF!</v>
      </c>
      <c r="C192" s="161" t="e">
        <f>#REF!</f>
        <v>#REF!</v>
      </c>
      <c r="D192" s="161" t="e">
        <f>#REF!</f>
        <v>#REF!</v>
      </c>
      <c r="E192" s="161" t="e">
        <f>#REF!</f>
        <v>#REF!</v>
      </c>
      <c r="F192" s="161" t="e">
        <f>#REF!</f>
        <v>#REF!</v>
      </c>
      <c r="G192" s="161" t="e">
        <f>#REF!</f>
        <v>#REF!</v>
      </c>
      <c r="H192" s="161" t="e">
        <f>#REF!</f>
        <v>#REF!</v>
      </c>
    </row>
    <row r="193" spans="1:8" x14ac:dyDescent="0.3">
      <c r="A193" s="161" t="e">
        <f>#REF!</f>
        <v>#REF!</v>
      </c>
      <c r="B193" s="161" t="e">
        <f>#REF!</f>
        <v>#REF!</v>
      </c>
      <c r="C193" s="161" t="e">
        <f>#REF!</f>
        <v>#REF!</v>
      </c>
      <c r="D193" s="161" t="e">
        <f>#REF!</f>
        <v>#REF!</v>
      </c>
      <c r="E193" s="161" t="e">
        <f>#REF!</f>
        <v>#REF!</v>
      </c>
      <c r="F193" s="161" t="e">
        <f>#REF!</f>
        <v>#REF!</v>
      </c>
      <c r="G193" s="161" t="e">
        <f>#REF!</f>
        <v>#REF!</v>
      </c>
      <c r="H193" s="161" t="e">
        <f>#REF!</f>
        <v>#REF!</v>
      </c>
    </row>
    <row r="194" spans="1:8" x14ac:dyDescent="0.3">
      <c r="A194" s="161" t="e">
        <f>#REF!</f>
        <v>#REF!</v>
      </c>
      <c r="B194" s="161" t="e">
        <f>#REF!</f>
        <v>#REF!</v>
      </c>
      <c r="C194" s="161" t="e">
        <f>#REF!</f>
        <v>#REF!</v>
      </c>
      <c r="D194" s="161" t="e">
        <f>#REF!</f>
        <v>#REF!</v>
      </c>
      <c r="E194" s="161" t="e">
        <f>#REF!</f>
        <v>#REF!</v>
      </c>
      <c r="F194" s="161" t="e">
        <f>#REF!</f>
        <v>#REF!</v>
      </c>
      <c r="G194" s="161" t="e">
        <f>#REF!</f>
        <v>#REF!</v>
      </c>
      <c r="H194" s="161" t="e">
        <f>#REF!</f>
        <v>#REF!</v>
      </c>
    </row>
    <row r="195" spans="1:8" x14ac:dyDescent="0.3">
      <c r="A195" s="161" t="e">
        <f>#REF!</f>
        <v>#REF!</v>
      </c>
      <c r="B195" s="161" t="e">
        <f>#REF!</f>
        <v>#REF!</v>
      </c>
      <c r="C195" s="161" t="e">
        <f>#REF!</f>
        <v>#REF!</v>
      </c>
      <c r="D195" s="161" t="e">
        <f>#REF!</f>
        <v>#REF!</v>
      </c>
      <c r="E195" s="161" t="e">
        <f>#REF!</f>
        <v>#REF!</v>
      </c>
      <c r="F195" s="161" t="e">
        <f>#REF!</f>
        <v>#REF!</v>
      </c>
      <c r="G195" s="161" t="e">
        <f>#REF!</f>
        <v>#REF!</v>
      </c>
      <c r="H195" s="161" t="e">
        <f>#REF!</f>
        <v>#REF!</v>
      </c>
    </row>
    <row r="196" spans="1:8" x14ac:dyDescent="0.3">
      <c r="A196" s="161" t="e">
        <f>#REF!</f>
        <v>#REF!</v>
      </c>
      <c r="B196" s="161" t="e">
        <f>#REF!</f>
        <v>#REF!</v>
      </c>
      <c r="C196" s="161" t="e">
        <f>#REF!</f>
        <v>#REF!</v>
      </c>
      <c r="D196" s="161" t="e">
        <f>#REF!</f>
        <v>#REF!</v>
      </c>
      <c r="E196" s="161" t="e">
        <f>#REF!</f>
        <v>#REF!</v>
      </c>
      <c r="F196" s="161" t="e">
        <f>#REF!</f>
        <v>#REF!</v>
      </c>
      <c r="G196" s="161" t="e">
        <f>#REF!</f>
        <v>#REF!</v>
      </c>
      <c r="H196" s="161" t="e">
        <f>#REF!</f>
        <v>#REF!</v>
      </c>
    </row>
    <row r="197" spans="1:8" x14ac:dyDescent="0.3">
      <c r="A197" s="161" t="e">
        <f>#REF!</f>
        <v>#REF!</v>
      </c>
      <c r="B197" s="161" t="e">
        <f>#REF!</f>
        <v>#REF!</v>
      </c>
      <c r="C197" s="161" t="e">
        <f>#REF!</f>
        <v>#REF!</v>
      </c>
      <c r="D197" s="161" t="e">
        <f>#REF!</f>
        <v>#REF!</v>
      </c>
      <c r="E197" s="161" t="e">
        <f>#REF!</f>
        <v>#REF!</v>
      </c>
      <c r="F197" s="161" t="e">
        <f>#REF!</f>
        <v>#REF!</v>
      </c>
      <c r="G197" s="161" t="e">
        <f>#REF!</f>
        <v>#REF!</v>
      </c>
      <c r="H197" s="161" t="e">
        <f>#REF!</f>
        <v>#REF!</v>
      </c>
    </row>
    <row r="198" spans="1:8" x14ac:dyDescent="0.3">
      <c r="A198" s="161" t="e">
        <f>#REF!</f>
        <v>#REF!</v>
      </c>
      <c r="B198" s="161" t="e">
        <f>#REF!</f>
        <v>#REF!</v>
      </c>
      <c r="C198" s="161" t="e">
        <f>#REF!</f>
        <v>#REF!</v>
      </c>
      <c r="D198" s="161" t="e">
        <f>#REF!</f>
        <v>#REF!</v>
      </c>
      <c r="E198" s="161" t="e">
        <f>#REF!</f>
        <v>#REF!</v>
      </c>
      <c r="F198" s="161" t="e">
        <f>#REF!</f>
        <v>#REF!</v>
      </c>
      <c r="G198" s="161" t="e">
        <f>#REF!</f>
        <v>#REF!</v>
      </c>
      <c r="H198" s="161" t="e">
        <f>#REF!</f>
        <v>#REF!</v>
      </c>
    </row>
    <row r="199" spans="1:8" x14ac:dyDescent="0.3">
      <c r="A199" s="161" t="e">
        <f>#REF!</f>
        <v>#REF!</v>
      </c>
      <c r="B199" s="161" t="e">
        <f>#REF!</f>
        <v>#REF!</v>
      </c>
      <c r="C199" s="161" t="e">
        <f>#REF!</f>
        <v>#REF!</v>
      </c>
      <c r="D199" s="161" t="e">
        <f>#REF!</f>
        <v>#REF!</v>
      </c>
      <c r="E199" s="161" t="e">
        <f>#REF!</f>
        <v>#REF!</v>
      </c>
      <c r="F199" s="161" t="e">
        <f>#REF!</f>
        <v>#REF!</v>
      </c>
      <c r="G199" s="161" t="e">
        <f>#REF!</f>
        <v>#REF!</v>
      </c>
      <c r="H199" s="161" t="e">
        <f>#REF!</f>
        <v>#REF!</v>
      </c>
    </row>
    <row r="200" spans="1:8" x14ac:dyDescent="0.3">
      <c r="A200" s="161" t="e">
        <f>#REF!</f>
        <v>#REF!</v>
      </c>
      <c r="B200" s="161" t="e">
        <f>#REF!</f>
        <v>#REF!</v>
      </c>
      <c r="C200" s="161" t="e">
        <f>#REF!</f>
        <v>#REF!</v>
      </c>
      <c r="D200" s="161" t="e">
        <f>#REF!</f>
        <v>#REF!</v>
      </c>
      <c r="E200" s="161" t="e">
        <f>#REF!</f>
        <v>#REF!</v>
      </c>
      <c r="F200" s="161" t="e">
        <f>#REF!</f>
        <v>#REF!</v>
      </c>
      <c r="G200" s="161" t="e">
        <f>#REF!</f>
        <v>#REF!</v>
      </c>
      <c r="H200" s="161" t="e">
        <f>#REF!</f>
        <v>#REF!</v>
      </c>
    </row>
    <row r="201" spans="1:8" x14ac:dyDescent="0.3">
      <c r="A201" s="161" t="e">
        <f>#REF!</f>
        <v>#REF!</v>
      </c>
      <c r="B201" s="161" t="e">
        <f>#REF!</f>
        <v>#REF!</v>
      </c>
      <c r="C201" s="161" t="e">
        <f>#REF!</f>
        <v>#REF!</v>
      </c>
      <c r="D201" s="161" t="e">
        <f>#REF!</f>
        <v>#REF!</v>
      </c>
      <c r="E201" s="161" t="e">
        <f>#REF!</f>
        <v>#REF!</v>
      </c>
      <c r="F201" s="161" t="e">
        <f>#REF!</f>
        <v>#REF!</v>
      </c>
      <c r="G201" s="161" t="e">
        <f>#REF!</f>
        <v>#REF!</v>
      </c>
      <c r="H201" s="161" t="e">
        <f>#REF!</f>
        <v>#REF!</v>
      </c>
    </row>
    <row r="202" spans="1:8" x14ac:dyDescent="0.3">
      <c r="A202" s="161" t="e">
        <f>#REF!</f>
        <v>#REF!</v>
      </c>
      <c r="B202" s="161" t="e">
        <f>#REF!</f>
        <v>#REF!</v>
      </c>
      <c r="C202" s="161" t="e">
        <f>#REF!</f>
        <v>#REF!</v>
      </c>
      <c r="D202" s="161" t="e">
        <f>#REF!</f>
        <v>#REF!</v>
      </c>
      <c r="E202" s="161" t="e">
        <f>#REF!</f>
        <v>#REF!</v>
      </c>
      <c r="F202" s="161" t="e">
        <f>#REF!</f>
        <v>#REF!</v>
      </c>
      <c r="G202" s="161" t="e">
        <f>#REF!</f>
        <v>#REF!</v>
      </c>
      <c r="H202" s="161" t="e">
        <f>#REF!</f>
        <v>#REF!</v>
      </c>
    </row>
    <row r="203" spans="1:8" x14ac:dyDescent="0.3">
      <c r="A203" s="161" t="e">
        <f>#REF!</f>
        <v>#REF!</v>
      </c>
      <c r="B203" s="161" t="e">
        <f>#REF!</f>
        <v>#REF!</v>
      </c>
      <c r="C203" s="161" t="e">
        <f>#REF!</f>
        <v>#REF!</v>
      </c>
      <c r="D203" s="161" t="e">
        <f>#REF!</f>
        <v>#REF!</v>
      </c>
      <c r="E203" s="161" t="e">
        <f>#REF!</f>
        <v>#REF!</v>
      </c>
      <c r="F203" s="161" t="e">
        <f>#REF!</f>
        <v>#REF!</v>
      </c>
      <c r="G203" s="161" t="e">
        <f>#REF!</f>
        <v>#REF!</v>
      </c>
      <c r="H203" s="161" t="e">
        <f>#REF!</f>
        <v>#REF!</v>
      </c>
    </row>
    <row r="204" spans="1:8" x14ac:dyDescent="0.3">
      <c r="A204" s="161" t="e">
        <f>#REF!</f>
        <v>#REF!</v>
      </c>
      <c r="B204" s="161" t="e">
        <f>#REF!</f>
        <v>#REF!</v>
      </c>
      <c r="C204" s="161" t="e">
        <f>#REF!</f>
        <v>#REF!</v>
      </c>
      <c r="D204" s="161" t="e">
        <f>#REF!</f>
        <v>#REF!</v>
      </c>
      <c r="E204" s="161" t="e">
        <f>#REF!</f>
        <v>#REF!</v>
      </c>
      <c r="F204" s="161" t="e">
        <f>#REF!</f>
        <v>#REF!</v>
      </c>
      <c r="G204" s="161" t="e">
        <f>#REF!</f>
        <v>#REF!</v>
      </c>
      <c r="H204" s="161" t="e">
        <f>#REF!</f>
        <v>#REF!</v>
      </c>
    </row>
    <row r="205" spans="1:8" x14ac:dyDescent="0.3">
      <c r="A205" s="161" t="e">
        <f>#REF!</f>
        <v>#REF!</v>
      </c>
      <c r="B205" s="161" t="e">
        <f>#REF!</f>
        <v>#REF!</v>
      </c>
      <c r="C205" s="161" t="e">
        <f>#REF!</f>
        <v>#REF!</v>
      </c>
      <c r="D205" s="161" t="e">
        <f>#REF!</f>
        <v>#REF!</v>
      </c>
      <c r="E205" s="161" t="e">
        <f>#REF!</f>
        <v>#REF!</v>
      </c>
      <c r="F205" s="161" t="e">
        <f>#REF!</f>
        <v>#REF!</v>
      </c>
      <c r="G205" s="161" t="e">
        <f>#REF!</f>
        <v>#REF!</v>
      </c>
      <c r="H205" s="161" t="e">
        <f>#REF!</f>
        <v>#REF!</v>
      </c>
    </row>
    <row r="206" spans="1:8" x14ac:dyDescent="0.3">
      <c r="A206" s="161" t="e">
        <f>#REF!</f>
        <v>#REF!</v>
      </c>
      <c r="B206" s="161" t="e">
        <f>#REF!</f>
        <v>#REF!</v>
      </c>
      <c r="C206" s="161" t="e">
        <f>#REF!</f>
        <v>#REF!</v>
      </c>
      <c r="D206" s="161" t="e">
        <f>#REF!</f>
        <v>#REF!</v>
      </c>
      <c r="E206" s="161" t="e">
        <f>#REF!</f>
        <v>#REF!</v>
      </c>
      <c r="F206" s="161" t="e">
        <f>#REF!</f>
        <v>#REF!</v>
      </c>
      <c r="G206" s="161" t="e">
        <f>#REF!</f>
        <v>#REF!</v>
      </c>
      <c r="H206" s="161" t="e">
        <f>#REF!</f>
        <v>#REF!</v>
      </c>
    </row>
    <row r="207" spans="1:8" x14ac:dyDescent="0.3">
      <c r="A207" s="161" t="e">
        <f>#REF!</f>
        <v>#REF!</v>
      </c>
      <c r="B207" s="161" t="e">
        <f>#REF!</f>
        <v>#REF!</v>
      </c>
      <c r="C207" s="161" t="e">
        <f>#REF!</f>
        <v>#REF!</v>
      </c>
      <c r="D207" s="161" t="e">
        <f>#REF!</f>
        <v>#REF!</v>
      </c>
      <c r="E207" s="161" t="e">
        <f>#REF!</f>
        <v>#REF!</v>
      </c>
      <c r="F207" s="161" t="e">
        <f>#REF!</f>
        <v>#REF!</v>
      </c>
      <c r="G207" s="161" t="e">
        <f>#REF!</f>
        <v>#REF!</v>
      </c>
      <c r="H207" s="161" t="e">
        <f>#REF!</f>
        <v>#REF!</v>
      </c>
    </row>
    <row r="208" spans="1:8" x14ac:dyDescent="0.3">
      <c r="A208" s="161" t="e">
        <f>#REF!</f>
        <v>#REF!</v>
      </c>
      <c r="B208" s="161" t="e">
        <f>#REF!</f>
        <v>#REF!</v>
      </c>
      <c r="C208" s="161" t="e">
        <f>#REF!</f>
        <v>#REF!</v>
      </c>
      <c r="D208" s="161" t="e">
        <f>#REF!</f>
        <v>#REF!</v>
      </c>
      <c r="E208" s="161" t="e">
        <f>#REF!</f>
        <v>#REF!</v>
      </c>
      <c r="F208" s="161" t="e">
        <f>#REF!</f>
        <v>#REF!</v>
      </c>
      <c r="G208" s="161" t="e">
        <f>#REF!</f>
        <v>#REF!</v>
      </c>
      <c r="H208" s="161" t="e">
        <f>#REF!</f>
        <v>#REF!</v>
      </c>
    </row>
    <row r="209" spans="1:8" x14ac:dyDescent="0.3">
      <c r="A209" s="161" t="e">
        <f>#REF!</f>
        <v>#REF!</v>
      </c>
      <c r="B209" s="161" t="e">
        <f>#REF!</f>
        <v>#REF!</v>
      </c>
      <c r="C209" s="161" t="e">
        <f>#REF!</f>
        <v>#REF!</v>
      </c>
      <c r="D209" s="161" t="e">
        <f>#REF!</f>
        <v>#REF!</v>
      </c>
      <c r="E209" s="161" t="e">
        <f>#REF!</f>
        <v>#REF!</v>
      </c>
      <c r="F209" s="161" t="e">
        <f>#REF!</f>
        <v>#REF!</v>
      </c>
      <c r="G209" s="161" t="e">
        <f>#REF!</f>
        <v>#REF!</v>
      </c>
      <c r="H209" s="161" t="e">
        <f>#REF!</f>
        <v>#REF!</v>
      </c>
    </row>
    <row r="210" spans="1:8" x14ac:dyDescent="0.3">
      <c r="A210" s="161" t="e">
        <f>#REF!</f>
        <v>#REF!</v>
      </c>
      <c r="B210" s="161" t="e">
        <f>#REF!</f>
        <v>#REF!</v>
      </c>
      <c r="C210" s="161" t="e">
        <f>#REF!</f>
        <v>#REF!</v>
      </c>
      <c r="D210" s="161" t="e">
        <f>#REF!</f>
        <v>#REF!</v>
      </c>
      <c r="E210" s="161" t="e">
        <f>#REF!</f>
        <v>#REF!</v>
      </c>
      <c r="F210" s="161" t="e">
        <f>#REF!</f>
        <v>#REF!</v>
      </c>
      <c r="G210" s="161" t="e">
        <f>#REF!</f>
        <v>#REF!</v>
      </c>
      <c r="H210" s="161" t="e">
        <f>#REF!</f>
        <v>#REF!</v>
      </c>
    </row>
    <row r="211" spans="1:8" x14ac:dyDescent="0.3">
      <c r="A211" s="161" t="e">
        <f>#REF!</f>
        <v>#REF!</v>
      </c>
      <c r="B211" s="161" t="e">
        <f>#REF!</f>
        <v>#REF!</v>
      </c>
      <c r="C211" s="161" t="e">
        <f>#REF!</f>
        <v>#REF!</v>
      </c>
      <c r="D211" s="161" t="e">
        <f>#REF!</f>
        <v>#REF!</v>
      </c>
      <c r="E211" s="161" t="e">
        <f>#REF!</f>
        <v>#REF!</v>
      </c>
      <c r="F211" s="161" t="e">
        <f>#REF!</f>
        <v>#REF!</v>
      </c>
      <c r="G211" s="161" t="e">
        <f>#REF!</f>
        <v>#REF!</v>
      </c>
      <c r="H211" s="161" t="e">
        <f>#REF!</f>
        <v>#REF!</v>
      </c>
    </row>
    <row r="212" spans="1:8" x14ac:dyDescent="0.3">
      <c r="A212" s="161" t="e">
        <f>#REF!</f>
        <v>#REF!</v>
      </c>
      <c r="B212" s="161" t="e">
        <f>#REF!</f>
        <v>#REF!</v>
      </c>
      <c r="C212" s="161" t="e">
        <f>#REF!</f>
        <v>#REF!</v>
      </c>
      <c r="D212" s="161" t="e">
        <f>#REF!</f>
        <v>#REF!</v>
      </c>
      <c r="E212" s="161" t="e">
        <f>#REF!</f>
        <v>#REF!</v>
      </c>
      <c r="F212" s="161" t="e">
        <f>#REF!</f>
        <v>#REF!</v>
      </c>
      <c r="G212" s="161" t="e">
        <f>#REF!</f>
        <v>#REF!</v>
      </c>
      <c r="H212" s="161" t="e">
        <f>#REF!</f>
        <v>#REF!</v>
      </c>
    </row>
    <row r="213" spans="1:8" x14ac:dyDescent="0.3">
      <c r="A213" s="161" t="e">
        <f>#REF!</f>
        <v>#REF!</v>
      </c>
      <c r="B213" s="161" t="e">
        <f>#REF!</f>
        <v>#REF!</v>
      </c>
      <c r="C213" s="161" t="e">
        <f>#REF!</f>
        <v>#REF!</v>
      </c>
      <c r="D213" s="161" t="e">
        <f>#REF!</f>
        <v>#REF!</v>
      </c>
      <c r="E213" s="161" t="e">
        <f>#REF!</f>
        <v>#REF!</v>
      </c>
      <c r="F213" s="161" t="e">
        <f>#REF!</f>
        <v>#REF!</v>
      </c>
      <c r="G213" s="161" t="e">
        <f>#REF!</f>
        <v>#REF!</v>
      </c>
      <c r="H213" s="161" t="e">
        <f>#REF!</f>
        <v>#REF!</v>
      </c>
    </row>
    <row r="214" spans="1:8" x14ac:dyDescent="0.3">
      <c r="A214" s="161" t="e">
        <f>#REF!</f>
        <v>#REF!</v>
      </c>
      <c r="B214" s="161" t="e">
        <f>#REF!</f>
        <v>#REF!</v>
      </c>
      <c r="C214" s="161" t="e">
        <f>#REF!</f>
        <v>#REF!</v>
      </c>
      <c r="D214" s="161" t="e">
        <f>#REF!</f>
        <v>#REF!</v>
      </c>
      <c r="E214" s="161" t="e">
        <f>#REF!</f>
        <v>#REF!</v>
      </c>
      <c r="F214" s="161" t="e">
        <f>#REF!</f>
        <v>#REF!</v>
      </c>
      <c r="G214" s="161" t="e">
        <f>#REF!</f>
        <v>#REF!</v>
      </c>
      <c r="H214" s="161" t="e">
        <f>#REF!</f>
        <v>#REF!</v>
      </c>
    </row>
    <row r="215" spans="1:8" x14ac:dyDescent="0.3">
      <c r="A215" s="161" t="e">
        <f>#REF!</f>
        <v>#REF!</v>
      </c>
      <c r="B215" s="161" t="e">
        <f>#REF!</f>
        <v>#REF!</v>
      </c>
      <c r="C215" s="161" t="e">
        <f>#REF!</f>
        <v>#REF!</v>
      </c>
      <c r="D215" s="161" t="e">
        <f>#REF!</f>
        <v>#REF!</v>
      </c>
      <c r="E215" s="161" t="e">
        <f>#REF!</f>
        <v>#REF!</v>
      </c>
      <c r="F215" s="161" t="e">
        <f>#REF!</f>
        <v>#REF!</v>
      </c>
      <c r="G215" s="161" t="e">
        <f>#REF!</f>
        <v>#REF!</v>
      </c>
      <c r="H215" s="161" t="e">
        <f>#REF!</f>
        <v>#REF!</v>
      </c>
    </row>
    <row r="216" spans="1:8" x14ac:dyDescent="0.3">
      <c r="A216" s="161" t="e">
        <f>#REF!</f>
        <v>#REF!</v>
      </c>
      <c r="B216" s="161" t="e">
        <f>#REF!</f>
        <v>#REF!</v>
      </c>
      <c r="C216" s="161" t="e">
        <f>#REF!</f>
        <v>#REF!</v>
      </c>
      <c r="D216" s="161" t="e">
        <f>#REF!</f>
        <v>#REF!</v>
      </c>
      <c r="E216" s="161" t="e">
        <f>#REF!</f>
        <v>#REF!</v>
      </c>
      <c r="F216" s="161" t="e">
        <f>#REF!</f>
        <v>#REF!</v>
      </c>
      <c r="G216" s="161" t="e">
        <f>#REF!</f>
        <v>#REF!</v>
      </c>
      <c r="H216" s="161" t="e">
        <f>#REF!</f>
        <v>#REF!</v>
      </c>
    </row>
    <row r="217" spans="1:8" x14ac:dyDescent="0.3">
      <c r="A217" s="161" t="e">
        <f>#REF!</f>
        <v>#REF!</v>
      </c>
      <c r="B217" s="161" t="e">
        <f>#REF!</f>
        <v>#REF!</v>
      </c>
      <c r="C217" s="161" t="e">
        <f>#REF!</f>
        <v>#REF!</v>
      </c>
      <c r="D217" s="161" t="e">
        <f>#REF!</f>
        <v>#REF!</v>
      </c>
      <c r="E217" s="161" t="e">
        <f>#REF!</f>
        <v>#REF!</v>
      </c>
      <c r="F217" s="161" t="e">
        <f>#REF!</f>
        <v>#REF!</v>
      </c>
      <c r="G217" s="161" t="e">
        <f>#REF!</f>
        <v>#REF!</v>
      </c>
      <c r="H217" s="161" t="e">
        <f>#REF!</f>
        <v>#REF!</v>
      </c>
    </row>
  </sheetData>
  <hyperlinks>
    <hyperlink ref="D2" location="'Attenuator Drawing'!A1" display="FileLink1"/>
  </hyperlinks>
  <pageMargins left="0.5" right="0.5" top="0.75" bottom="0.75" header="0.3" footer="0.3"/>
  <pageSetup paperSize="9" scale="14" orientation="landscape" r:id="rId1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08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23.109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7.66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N12+I17</f>
        <v>7.2867739999999994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194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1473</v>
      </c>
      <c r="D4" s="570" t="s">
        <v>541</v>
      </c>
      <c r="J4" s="570" t="s">
        <v>538</v>
      </c>
      <c r="M4" s="570" t="s">
        <v>539</v>
      </c>
      <c r="N4" s="336">
        <f>N1*N2</f>
        <v>7.2867739999999994</v>
      </c>
    </row>
    <row r="5" spans="1:14" x14ac:dyDescent="0.3">
      <c r="A5" s="570" t="s">
        <v>537</v>
      </c>
      <c r="B5" s="199" t="s">
        <v>197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1466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1308</v>
      </c>
      <c r="C10" s="168" t="s">
        <v>1467</v>
      </c>
      <c r="D10" s="323">
        <v>2.25</v>
      </c>
      <c r="E10" s="380">
        <v>355</v>
      </c>
      <c r="F10" s="168" t="s">
        <v>573</v>
      </c>
      <c r="G10" s="168">
        <v>304</v>
      </c>
      <c r="H10" s="219" t="s">
        <v>573</v>
      </c>
      <c r="I10" s="269" t="s">
        <v>1468</v>
      </c>
      <c r="J10" s="227">
        <f>0.10792</f>
        <v>0.10792</v>
      </c>
      <c r="K10" s="227">
        <v>1.5E-3</v>
      </c>
      <c r="L10" s="168">
        <v>7800</v>
      </c>
      <c r="M10" s="168">
        <v>1</v>
      </c>
      <c r="N10" s="322">
        <f>IF(J10="",D10*M10,D10*J10*K10*L10*M10)</f>
        <v>2.8409939999999998</v>
      </c>
    </row>
    <row r="11" spans="1:14" x14ac:dyDescent="0.3">
      <c r="A11" s="168">
        <v>20</v>
      </c>
      <c r="B11" s="168" t="s">
        <v>625</v>
      </c>
      <c r="C11" s="168" t="s">
        <v>1469</v>
      </c>
      <c r="D11" s="584">
        <v>10</v>
      </c>
      <c r="E11" s="380">
        <v>0.10792</v>
      </c>
      <c r="F11" s="168" t="s">
        <v>627</v>
      </c>
      <c r="G11" s="168"/>
      <c r="H11" s="219"/>
      <c r="I11" s="220"/>
      <c r="J11" s="221"/>
      <c r="K11" s="219"/>
      <c r="L11" s="219"/>
      <c r="M11" s="332">
        <v>0.10792</v>
      </c>
      <c r="N11" s="322">
        <f>IF(J11="",D11*M11,D11*J11*K11*L11*M11)</f>
        <v>1.0791999999999999</v>
      </c>
    </row>
    <row r="12" spans="1:14" s="178" customFormat="1" x14ac:dyDescent="0.3">
      <c r="M12" s="574" t="s">
        <v>547</v>
      </c>
      <c r="N12" s="575">
        <f>SUM(N10:N11)</f>
        <v>3.9201939999999995</v>
      </c>
    </row>
    <row r="14" spans="1:14" s="178" customFormat="1" x14ac:dyDescent="0.3">
      <c r="A14" s="572" t="s">
        <v>544</v>
      </c>
      <c r="B14" s="572" t="s">
        <v>548</v>
      </c>
      <c r="C14" s="572" t="s">
        <v>549</v>
      </c>
      <c r="D14" s="572" t="s">
        <v>550</v>
      </c>
      <c r="E14" s="572" t="s">
        <v>551</v>
      </c>
      <c r="F14" s="572" t="s">
        <v>28</v>
      </c>
      <c r="G14" s="572" t="s">
        <v>552</v>
      </c>
      <c r="H14" s="572" t="s">
        <v>553</v>
      </c>
      <c r="I14" s="572" t="s">
        <v>547</v>
      </c>
    </row>
    <row r="15" spans="1:14" ht="28.8" x14ac:dyDescent="0.3">
      <c r="A15" s="168">
        <v>10</v>
      </c>
      <c r="B15" s="193" t="s">
        <v>791</v>
      </c>
      <c r="C15" s="193" t="s">
        <v>1470</v>
      </c>
      <c r="D15" s="323">
        <v>0.35</v>
      </c>
      <c r="E15" s="168" t="s">
        <v>843</v>
      </c>
      <c r="F15" s="168">
        <v>8</v>
      </c>
      <c r="G15" s="168"/>
      <c r="H15" s="168"/>
      <c r="I15" s="323">
        <f>IF('FR 02002'!$H15&lt;&gt;"",'FR 02002'!$D15*'FR 02002'!$F15*'FR 02002'!$H15,'FR 02002'!$D15*'FR 02002'!$F15)</f>
        <v>2.8</v>
      </c>
    </row>
    <row r="16" spans="1:14" x14ac:dyDescent="0.3">
      <c r="A16" s="168">
        <v>20</v>
      </c>
      <c r="B16" s="180" t="s">
        <v>762</v>
      </c>
      <c r="C16" s="171" t="s">
        <v>1471</v>
      </c>
      <c r="D16" s="243">
        <v>5.25</v>
      </c>
      <c r="E16" s="243" t="s">
        <v>627</v>
      </c>
      <c r="F16" s="380">
        <f>0.10792</f>
        <v>0.10792</v>
      </c>
      <c r="G16" s="168"/>
      <c r="H16" s="168"/>
      <c r="I16" s="322">
        <f>IF('FR 02002'!$H16&lt;&gt;"",'FR 02002'!$D16*'FR 02002'!$F16*'FR 02002'!$H16,'FR 02002'!$D16*'FR 02002'!$F16)</f>
        <v>0.56657999999999997</v>
      </c>
    </row>
    <row r="17" spans="8:9" s="178" customFormat="1" x14ac:dyDescent="0.3">
      <c r="H17" s="574" t="s">
        <v>547</v>
      </c>
      <c r="I17" s="575">
        <f>SUM(I15:I16)</f>
        <v>3.3665799999999999</v>
      </c>
    </row>
    <row r="18" spans="8:9" x14ac:dyDescent="0.3">
      <c r="H18" s="325"/>
    </row>
    <row r="71" spans="1:8" x14ac:dyDescent="0.3">
      <c r="A71" s="161" t="e">
        <f>#REF!</f>
        <v>#REF!</v>
      </c>
      <c r="B71" s="161" t="e">
        <f>#REF!</f>
        <v>#REF!</v>
      </c>
      <c r="C71" s="161" t="e">
        <f>#REF!</f>
        <v>#REF!</v>
      </c>
      <c r="D71" s="161" t="e">
        <f>#REF!</f>
        <v>#REF!</v>
      </c>
      <c r="E71" s="161" t="e">
        <f>#REF!</f>
        <v>#REF!</v>
      </c>
      <c r="F71" s="161" t="e">
        <f>#REF!</f>
        <v>#REF!</v>
      </c>
      <c r="G71" s="161" t="e">
        <f>#REF!</f>
        <v>#REF!</v>
      </c>
      <c r="H71" s="161" t="e">
        <f>#REF!</f>
        <v>#REF!</v>
      </c>
    </row>
    <row r="72" spans="1:8" x14ac:dyDescent="0.3">
      <c r="A72" s="161" t="e">
        <f>#REF!</f>
        <v>#REF!</v>
      </c>
      <c r="B72" s="161" t="e">
        <f>#REF!</f>
        <v>#REF!</v>
      </c>
      <c r="C72" s="161" t="e">
        <f>#REF!</f>
        <v>#REF!</v>
      </c>
      <c r="D72" s="161" t="e">
        <f>#REF!</f>
        <v>#REF!</v>
      </c>
      <c r="E72" s="161" t="e">
        <f>#REF!</f>
        <v>#REF!</v>
      </c>
      <c r="F72" s="161" t="e">
        <f>#REF!</f>
        <v>#REF!</v>
      </c>
      <c r="G72" s="161" t="e">
        <f>#REF!</f>
        <v>#REF!</v>
      </c>
      <c r="H72" s="161" t="e">
        <f>#REF!</f>
        <v>#REF!</v>
      </c>
    </row>
    <row r="73" spans="1:8" x14ac:dyDescent="0.3">
      <c r="A73" s="161" t="e">
        <f>#REF!</f>
        <v>#REF!</v>
      </c>
      <c r="B73" s="161" t="e">
        <f>#REF!</f>
        <v>#REF!</v>
      </c>
      <c r="C73" s="161" t="e">
        <f>#REF!</f>
        <v>#REF!</v>
      </c>
      <c r="D73" s="161" t="e">
        <f>#REF!</f>
        <v>#REF!</v>
      </c>
      <c r="E73" s="161" t="e">
        <f>#REF!</f>
        <v>#REF!</v>
      </c>
      <c r="F73" s="161" t="e">
        <f>#REF!</f>
        <v>#REF!</v>
      </c>
      <c r="G73" s="161" t="e">
        <f>#REF!</f>
        <v>#REF!</v>
      </c>
      <c r="H73" s="161" t="e">
        <f>#REF!</f>
        <v>#REF!</v>
      </c>
    </row>
    <row r="74" spans="1:8" x14ac:dyDescent="0.3">
      <c r="A74" s="161" t="e">
        <f>#REF!</f>
        <v>#REF!</v>
      </c>
      <c r="B74" s="161" t="e">
        <f>#REF!</f>
        <v>#REF!</v>
      </c>
      <c r="C74" s="161" t="e">
        <f>#REF!</f>
        <v>#REF!</v>
      </c>
      <c r="D74" s="161" t="e">
        <f>#REF!</f>
        <v>#REF!</v>
      </c>
      <c r="E74" s="161" t="e">
        <f>#REF!</f>
        <v>#REF!</v>
      </c>
      <c r="F74" s="161" t="e">
        <f>#REF!</f>
        <v>#REF!</v>
      </c>
      <c r="G74" s="161" t="e">
        <f>#REF!</f>
        <v>#REF!</v>
      </c>
      <c r="H74" s="161" t="e">
        <f>#REF!</f>
        <v>#REF!</v>
      </c>
    </row>
    <row r="75" spans="1:8" x14ac:dyDescent="0.3">
      <c r="A75" s="161" t="e">
        <f>#REF!</f>
        <v>#REF!</v>
      </c>
      <c r="B75" s="161" t="e">
        <f>#REF!</f>
        <v>#REF!</v>
      </c>
      <c r="C75" s="161" t="e">
        <f>#REF!</f>
        <v>#REF!</v>
      </c>
      <c r="D75" s="161" t="e">
        <f>#REF!</f>
        <v>#REF!</v>
      </c>
      <c r="E75" s="161" t="e">
        <f>#REF!</f>
        <v>#REF!</v>
      </c>
      <c r="F75" s="161" t="e">
        <f>#REF!</f>
        <v>#REF!</v>
      </c>
      <c r="G75" s="161" t="e">
        <f>#REF!</f>
        <v>#REF!</v>
      </c>
      <c r="H75" s="161" t="e">
        <f>#REF!</f>
        <v>#REF!</v>
      </c>
    </row>
    <row r="76" spans="1:8" x14ac:dyDescent="0.3">
      <c r="A76" s="161" t="e">
        <f>#REF!</f>
        <v>#REF!</v>
      </c>
      <c r="B76" s="161" t="e">
        <f>#REF!</f>
        <v>#REF!</v>
      </c>
      <c r="C76" s="161" t="e">
        <f>#REF!</f>
        <v>#REF!</v>
      </c>
      <c r="D76" s="161" t="e">
        <f>#REF!</f>
        <v>#REF!</v>
      </c>
      <c r="E76" s="161" t="e">
        <f>#REF!</f>
        <v>#REF!</v>
      </c>
      <c r="F76" s="161" t="e">
        <f>#REF!</f>
        <v>#REF!</v>
      </c>
      <c r="G76" s="161" t="e">
        <f>#REF!</f>
        <v>#REF!</v>
      </c>
      <c r="H76" s="161" t="e">
        <f>#REF!</f>
        <v>#REF!</v>
      </c>
    </row>
    <row r="77" spans="1:8" x14ac:dyDescent="0.3">
      <c r="A77" s="161" t="e">
        <f>#REF!</f>
        <v>#REF!</v>
      </c>
      <c r="B77" s="161" t="e">
        <f>#REF!</f>
        <v>#REF!</v>
      </c>
      <c r="C77" s="161" t="e">
        <f>#REF!</f>
        <v>#REF!</v>
      </c>
      <c r="D77" s="161" t="e">
        <f>#REF!</f>
        <v>#REF!</v>
      </c>
      <c r="E77" s="161" t="e">
        <f>#REF!</f>
        <v>#REF!</v>
      </c>
      <c r="F77" s="161" t="e">
        <f>#REF!</f>
        <v>#REF!</v>
      </c>
      <c r="G77" s="161" t="e">
        <f>#REF!</f>
        <v>#REF!</v>
      </c>
      <c r="H77" s="161" t="e">
        <f>#REF!</f>
        <v>#REF!</v>
      </c>
    </row>
    <row r="78" spans="1:8" x14ac:dyDescent="0.3">
      <c r="A78" s="161" t="e">
        <f>#REF!</f>
        <v>#REF!</v>
      </c>
      <c r="B78" s="161" t="e">
        <f>#REF!</f>
        <v>#REF!</v>
      </c>
      <c r="C78" s="161" t="e">
        <f>#REF!</f>
        <v>#REF!</v>
      </c>
      <c r="D78" s="161" t="e">
        <f>#REF!</f>
        <v>#REF!</v>
      </c>
      <c r="E78" s="161" t="e">
        <f>#REF!</f>
        <v>#REF!</v>
      </c>
      <c r="F78" s="161" t="e">
        <f>#REF!</f>
        <v>#REF!</v>
      </c>
      <c r="G78" s="161" t="e">
        <f>#REF!</f>
        <v>#REF!</v>
      </c>
      <c r="H78" s="161" t="e">
        <f>#REF!</f>
        <v>#REF!</v>
      </c>
    </row>
    <row r="79" spans="1:8" x14ac:dyDescent="0.3">
      <c r="A79" s="161" t="e">
        <f>#REF!</f>
        <v>#REF!</v>
      </c>
      <c r="B79" s="161" t="e">
        <f>#REF!</f>
        <v>#REF!</v>
      </c>
      <c r="C79" s="161" t="e">
        <f>#REF!</f>
        <v>#REF!</v>
      </c>
      <c r="D79" s="161" t="e">
        <f>#REF!</f>
        <v>#REF!</v>
      </c>
      <c r="E79" s="161" t="e">
        <f>#REF!</f>
        <v>#REF!</v>
      </c>
      <c r="F79" s="161" t="e">
        <f>#REF!</f>
        <v>#REF!</v>
      </c>
      <c r="G79" s="161" t="e">
        <f>#REF!</f>
        <v>#REF!</v>
      </c>
      <c r="H79" s="161" t="e">
        <f>#REF!</f>
        <v>#REF!</v>
      </c>
    </row>
    <row r="80" spans="1:8" x14ac:dyDescent="0.3">
      <c r="A80" s="161" t="e">
        <f>#REF!</f>
        <v>#REF!</v>
      </c>
      <c r="B80" s="161" t="e">
        <f>#REF!</f>
        <v>#REF!</v>
      </c>
      <c r="C80" s="161" t="e">
        <f>#REF!</f>
        <v>#REF!</v>
      </c>
      <c r="D80" s="161" t="e">
        <f>#REF!</f>
        <v>#REF!</v>
      </c>
      <c r="E80" s="161" t="e">
        <f>#REF!</f>
        <v>#REF!</v>
      </c>
      <c r="F80" s="161" t="e">
        <f>#REF!</f>
        <v>#REF!</v>
      </c>
      <c r="G80" s="161" t="e">
        <f>#REF!</f>
        <v>#REF!</v>
      </c>
      <c r="H80" s="161" t="e">
        <f>#REF!</f>
        <v>#REF!</v>
      </c>
    </row>
    <row r="81" spans="1:8" x14ac:dyDescent="0.3">
      <c r="A81" s="161" t="e">
        <f>#REF!</f>
        <v>#REF!</v>
      </c>
      <c r="B81" s="161" t="e">
        <f>#REF!</f>
        <v>#REF!</v>
      </c>
      <c r="C81" s="161" t="e">
        <f>#REF!</f>
        <v>#REF!</v>
      </c>
      <c r="D81" s="161" t="e">
        <f>#REF!</f>
        <v>#REF!</v>
      </c>
      <c r="E81" s="161" t="e">
        <f>#REF!</f>
        <v>#REF!</v>
      </c>
      <c r="F81" s="161" t="e">
        <f>#REF!</f>
        <v>#REF!</v>
      </c>
      <c r="G81" s="161" t="e">
        <f>#REF!</f>
        <v>#REF!</v>
      </c>
      <c r="H81" s="161" t="e">
        <f>#REF!</f>
        <v>#REF!</v>
      </c>
    </row>
    <row r="82" spans="1:8" x14ac:dyDescent="0.3">
      <c r="A82" s="161" t="e">
        <f>#REF!</f>
        <v>#REF!</v>
      </c>
      <c r="B82" s="161" t="e">
        <f>#REF!</f>
        <v>#REF!</v>
      </c>
      <c r="C82" s="161" t="e">
        <f>#REF!</f>
        <v>#REF!</v>
      </c>
      <c r="D82" s="161" t="e">
        <f>#REF!</f>
        <v>#REF!</v>
      </c>
      <c r="E82" s="161" t="e">
        <f>#REF!</f>
        <v>#REF!</v>
      </c>
      <c r="F82" s="161" t="e">
        <f>#REF!</f>
        <v>#REF!</v>
      </c>
      <c r="G82" s="161" t="e">
        <f>#REF!</f>
        <v>#REF!</v>
      </c>
      <c r="H82" s="161" t="e">
        <f>#REF!</f>
        <v>#REF!</v>
      </c>
    </row>
    <row r="83" spans="1:8" x14ac:dyDescent="0.3">
      <c r="A83" s="161" t="e">
        <f>#REF!</f>
        <v>#REF!</v>
      </c>
      <c r="B83" s="161" t="e">
        <f>#REF!</f>
        <v>#REF!</v>
      </c>
      <c r="C83" s="161" t="e">
        <f>#REF!</f>
        <v>#REF!</v>
      </c>
      <c r="D83" s="161" t="e">
        <f>#REF!</f>
        <v>#REF!</v>
      </c>
      <c r="E83" s="161" t="e">
        <f>#REF!</f>
        <v>#REF!</v>
      </c>
      <c r="F83" s="161" t="e">
        <f>#REF!</f>
        <v>#REF!</v>
      </c>
      <c r="G83" s="161" t="e">
        <f>#REF!</f>
        <v>#REF!</v>
      </c>
      <c r="H83" s="161" t="e">
        <f>#REF!</f>
        <v>#REF!</v>
      </c>
    </row>
    <row r="84" spans="1:8" x14ac:dyDescent="0.3">
      <c r="A84" s="161" t="e">
        <f>#REF!</f>
        <v>#REF!</v>
      </c>
      <c r="B84" s="161" t="e">
        <f>#REF!</f>
        <v>#REF!</v>
      </c>
      <c r="C84" s="161" t="e">
        <f>#REF!</f>
        <v>#REF!</v>
      </c>
      <c r="D84" s="161" t="e">
        <f>#REF!</f>
        <v>#REF!</v>
      </c>
      <c r="E84" s="161" t="e">
        <f>#REF!</f>
        <v>#REF!</v>
      </c>
      <c r="F84" s="161" t="e">
        <f>#REF!</f>
        <v>#REF!</v>
      </c>
      <c r="G84" s="161" t="e">
        <f>#REF!</f>
        <v>#REF!</v>
      </c>
      <c r="H84" s="161" t="e">
        <f>#REF!</f>
        <v>#REF!</v>
      </c>
    </row>
    <row r="85" spans="1:8" x14ac:dyDescent="0.3">
      <c r="A85" s="161" t="e">
        <f>#REF!</f>
        <v>#REF!</v>
      </c>
      <c r="B85" s="161" t="e">
        <f>#REF!</f>
        <v>#REF!</v>
      </c>
      <c r="C85" s="161" t="e">
        <f>#REF!</f>
        <v>#REF!</v>
      </c>
      <c r="D85" s="161" t="e">
        <f>#REF!</f>
        <v>#REF!</v>
      </c>
      <c r="E85" s="161" t="e">
        <f>#REF!</f>
        <v>#REF!</v>
      </c>
      <c r="F85" s="161" t="e">
        <f>#REF!</f>
        <v>#REF!</v>
      </c>
      <c r="G85" s="161" t="e">
        <f>#REF!</f>
        <v>#REF!</v>
      </c>
      <c r="H85" s="161" t="e">
        <f>#REF!</f>
        <v>#REF!</v>
      </c>
    </row>
    <row r="86" spans="1:8" x14ac:dyDescent="0.3">
      <c r="A86" s="161" t="e">
        <f>#REF!</f>
        <v>#REF!</v>
      </c>
      <c r="B86" s="161" t="e">
        <f>#REF!</f>
        <v>#REF!</v>
      </c>
      <c r="C86" s="161" t="e">
        <f>#REF!</f>
        <v>#REF!</v>
      </c>
      <c r="D86" s="161" t="e">
        <f>#REF!</f>
        <v>#REF!</v>
      </c>
      <c r="E86" s="161" t="e">
        <f>#REF!</f>
        <v>#REF!</v>
      </c>
      <c r="F86" s="161" t="e">
        <f>#REF!</f>
        <v>#REF!</v>
      </c>
      <c r="G86" s="161" t="e">
        <f>#REF!</f>
        <v>#REF!</v>
      </c>
      <c r="H86" s="161" t="e">
        <f>#REF!</f>
        <v>#REF!</v>
      </c>
    </row>
    <row r="87" spans="1:8" x14ac:dyDescent="0.3">
      <c r="A87" s="161" t="e">
        <f>#REF!</f>
        <v>#REF!</v>
      </c>
      <c r="B87" s="161" t="e">
        <f>#REF!</f>
        <v>#REF!</v>
      </c>
      <c r="C87" s="161" t="e">
        <f>#REF!</f>
        <v>#REF!</v>
      </c>
      <c r="D87" s="161" t="e">
        <f>#REF!</f>
        <v>#REF!</v>
      </c>
      <c r="E87" s="161" t="e">
        <f>#REF!</f>
        <v>#REF!</v>
      </c>
      <c r="F87" s="161" t="e">
        <f>#REF!</f>
        <v>#REF!</v>
      </c>
      <c r="G87" s="161" t="e">
        <f>#REF!</f>
        <v>#REF!</v>
      </c>
      <c r="H87" s="161" t="e">
        <f>#REF!</f>
        <v>#REF!</v>
      </c>
    </row>
    <row r="88" spans="1:8" x14ac:dyDescent="0.3">
      <c r="A88" s="161" t="e">
        <f>#REF!</f>
        <v>#REF!</v>
      </c>
      <c r="B88" s="161" t="e">
        <f>#REF!</f>
        <v>#REF!</v>
      </c>
      <c r="C88" s="161" t="e">
        <f>#REF!</f>
        <v>#REF!</v>
      </c>
      <c r="D88" s="161" t="e">
        <f>#REF!</f>
        <v>#REF!</v>
      </c>
      <c r="E88" s="161" t="e">
        <f>#REF!</f>
        <v>#REF!</v>
      </c>
      <c r="F88" s="161" t="e">
        <f>#REF!</f>
        <v>#REF!</v>
      </c>
      <c r="G88" s="161" t="e">
        <f>#REF!</f>
        <v>#REF!</v>
      </c>
      <c r="H88" s="161" t="e">
        <f>#REF!</f>
        <v>#REF!</v>
      </c>
    </row>
    <row r="89" spans="1:8" x14ac:dyDescent="0.3">
      <c r="A89" s="161" t="e">
        <f>#REF!</f>
        <v>#REF!</v>
      </c>
      <c r="B89" s="161" t="e">
        <f>#REF!</f>
        <v>#REF!</v>
      </c>
      <c r="C89" s="161" t="e">
        <f>#REF!</f>
        <v>#REF!</v>
      </c>
      <c r="D89" s="161" t="e">
        <f>#REF!</f>
        <v>#REF!</v>
      </c>
      <c r="E89" s="161" t="e">
        <f>#REF!</f>
        <v>#REF!</v>
      </c>
      <c r="F89" s="161" t="e">
        <f>#REF!</f>
        <v>#REF!</v>
      </c>
      <c r="G89" s="161" t="e">
        <f>#REF!</f>
        <v>#REF!</v>
      </c>
      <c r="H89" s="161" t="e">
        <f>#REF!</f>
        <v>#REF!</v>
      </c>
    </row>
    <row r="90" spans="1:8" x14ac:dyDescent="0.3">
      <c r="A90" s="161" t="e">
        <f>#REF!</f>
        <v>#REF!</v>
      </c>
      <c r="B90" s="161" t="e">
        <f>#REF!</f>
        <v>#REF!</v>
      </c>
      <c r="C90" s="161" t="e">
        <f>#REF!</f>
        <v>#REF!</v>
      </c>
      <c r="D90" s="161" t="e">
        <f>#REF!</f>
        <v>#REF!</v>
      </c>
      <c r="E90" s="161" t="e">
        <f>#REF!</f>
        <v>#REF!</v>
      </c>
      <c r="F90" s="161" t="e">
        <f>#REF!</f>
        <v>#REF!</v>
      </c>
      <c r="G90" s="161" t="e">
        <f>#REF!</f>
        <v>#REF!</v>
      </c>
      <c r="H90" s="161" t="e">
        <f>#REF!</f>
        <v>#REF!</v>
      </c>
    </row>
    <row r="91" spans="1:8" x14ac:dyDescent="0.3">
      <c r="A91" s="161" t="e">
        <f>#REF!</f>
        <v>#REF!</v>
      </c>
      <c r="B91" s="161" t="e">
        <f>#REF!</f>
        <v>#REF!</v>
      </c>
      <c r="C91" s="161" t="e">
        <f>#REF!</f>
        <v>#REF!</v>
      </c>
      <c r="D91" s="161" t="e">
        <f>#REF!</f>
        <v>#REF!</v>
      </c>
      <c r="E91" s="161" t="e">
        <f>#REF!</f>
        <v>#REF!</v>
      </c>
      <c r="F91" s="161" t="e">
        <f>#REF!</f>
        <v>#REF!</v>
      </c>
      <c r="G91" s="161" t="e">
        <f>#REF!</f>
        <v>#REF!</v>
      </c>
      <c r="H91" s="161" t="e">
        <f>#REF!</f>
        <v>#REF!</v>
      </c>
    </row>
    <row r="92" spans="1:8" x14ac:dyDescent="0.3">
      <c r="A92" s="161" t="e">
        <f>#REF!</f>
        <v>#REF!</v>
      </c>
      <c r="B92" s="161" t="e">
        <f>#REF!</f>
        <v>#REF!</v>
      </c>
      <c r="C92" s="161" t="e">
        <f>#REF!</f>
        <v>#REF!</v>
      </c>
      <c r="D92" s="161" t="e">
        <f>#REF!</f>
        <v>#REF!</v>
      </c>
      <c r="E92" s="161" t="e">
        <f>#REF!</f>
        <v>#REF!</v>
      </c>
      <c r="F92" s="161" t="e">
        <f>#REF!</f>
        <v>#REF!</v>
      </c>
      <c r="G92" s="161" t="e">
        <f>#REF!</f>
        <v>#REF!</v>
      </c>
      <c r="H92" s="161" t="e">
        <f>#REF!</f>
        <v>#REF!</v>
      </c>
    </row>
    <row r="93" spans="1:8" x14ac:dyDescent="0.3">
      <c r="A93" s="161" t="e">
        <f>#REF!</f>
        <v>#REF!</v>
      </c>
      <c r="B93" s="161" t="e">
        <f>#REF!</f>
        <v>#REF!</v>
      </c>
      <c r="C93" s="161" t="e">
        <f>#REF!</f>
        <v>#REF!</v>
      </c>
      <c r="D93" s="161" t="e">
        <f>#REF!</f>
        <v>#REF!</v>
      </c>
      <c r="E93" s="161" t="e">
        <f>#REF!</f>
        <v>#REF!</v>
      </c>
      <c r="F93" s="161" t="e">
        <f>#REF!</f>
        <v>#REF!</v>
      </c>
      <c r="G93" s="161" t="e">
        <f>#REF!</f>
        <v>#REF!</v>
      </c>
      <c r="H93" s="161" t="e">
        <f>#REF!</f>
        <v>#REF!</v>
      </c>
    </row>
    <row r="94" spans="1:8" x14ac:dyDescent="0.3">
      <c r="A94" s="161" t="e">
        <f>#REF!</f>
        <v>#REF!</v>
      </c>
      <c r="B94" s="161" t="e">
        <f>#REF!</f>
        <v>#REF!</v>
      </c>
      <c r="C94" s="161" t="e">
        <f>#REF!</f>
        <v>#REF!</v>
      </c>
      <c r="D94" s="161" t="e">
        <f>#REF!</f>
        <v>#REF!</v>
      </c>
      <c r="E94" s="161" t="e">
        <f>#REF!</f>
        <v>#REF!</v>
      </c>
      <c r="F94" s="161" t="e">
        <f>#REF!</f>
        <v>#REF!</v>
      </c>
      <c r="G94" s="161" t="e">
        <f>#REF!</f>
        <v>#REF!</v>
      </c>
      <c r="H94" s="161" t="e">
        <f>#REF!</f>
        <v>#REF!</v>
      </c>
    </row>
    <row r="95" spans="1:8" x14ac:dyDescent="0.3">
      <c r="A95" s="161" t="e">
        <f>#REF!</f>
        <v>#REF!</v>
      </c>
      <c r="B95" s="161" t="e">
        <f>#REF!</f>
        <v>#REF!</v>
      </c>
      <c r="C95" s="161" t="e">
        <f>#REF!</f>
        <v>#REF!</v>
      </c>
      <c r="D95" s="161" t="e">
        <f>#REF!</f>
        <v>#REF!</v>
      </c>
      <c r="E95" s="161" t="e">
        <f>#REF!</f>
        <v>#REF!</v>
      </c>
      <c r="F95" s="161" t="e">
        <f>#REF!</f>
        <v>#REF!</v>
      </c>
      <c r="G95" s="161" t="e">
        <f>#REF!</f>
        <v>#REF!</v>
      </c>
      <c r="H95" s="161" t="e">
        <f>#REF!</f>
        <v>#REF!</v>
      </c>
    </row>
    <row r="96" spans="1:8" x14ac:dyDescent="0.3">
      <c r="A96" s="161" t="e">
        <f>#REF!</f>
        <v>#REF!</v>
      </c>
      <c r="B96" s="161" t="e">
        <f>#REF!</f>
        <v>#REF!</v>
      </c>
      <c r="C96" s="161" t="e">
        <f>#REF!</f>
        <v>#REF!</v>
      </c>
      <c r="D96" s="161" t="e">
        <f>#REF!</f>
        <v>#REF!</v>
      </c>
      <c r="E96" s="161" t="e">
        <f>#REF!</f>
        <v>#REF!</v>
      </c>
      <c r="F96" s="161" t="e">
        <f>#REF!</f>
        <v>#REF!</v>
      </c>
      <c r="G96" s="161" t="e">
        <f>#REF!</f>
        <v>#REF!</v>
      </c>
      <c r="H96" s="161" t="e">
        <f>#REF!</f>
        <v>#REF!</v>
      </c>
    </row>
    <row r="97" spans="1:8" x14ac:dyDescent="0.3">
      <c r="A97" s="161" t="e">
        <f>#REF!</f>
        <v>#REF!</v>
      </c>
      <c r="B97" s="161" t="e">
        <f>#REF!</f>
        <v>#REF!</v>
      </c>
      <c r="C97" s="161" t="e">
        <f>#REF!</f>
        <v>#REF!</v>
      </c>
      <c r="D97" s="161" t="e">
        <f>#REF!</f>
        <v>#REF!</v>
      </c>
      <c r="E97" s="161" t="e">
        <f>#REF!</f>
        <v>#REF!</v>
      </c>
      <c r="F97" s="161" t="e">
        <f>#REF!</f>
        <v>#REF!</v>
      </c>
      <c r="G97" s="161" t="e">
        <f>#REF!</f>
        <v>#REF!</v>
      </c>
      <c r="H97" s="161" t="e">
        <f>#REF!</f>
        <v>#REF!</v>
      </c>
    </row>
    <row r="98" spans="1:8" x14ac:dyDescent="0.3">
      <c r="A98" s="161" t="e">
        <f>#REF!</f>
        <v>#REF!</v>
      </c>
      <c r="B98" s="161" t="e">
        <f>#REF!</f>
        <v>#REF!</v>
      </c>
      <c r="C98" s="161" t="e">
        <f>#REF!</f>
        <v>#REF!</v>
      </c>
      <c r="D98" s="161" t="e">
        <f>#REF!</f>
        <v>#REF!</v>
      </c>
      <c r="E98" s="161" t="e">
        <f>#REF!</f>
        <v>#REF!</v>
      </c>
      <c r="F98" s="161" t="e">
        <f>#REF!</f>
        <v>#REF!</v>
      </c>
      <c r="G98" s="161" t="e">
        <f>#REF!</f>
        <v>#REF!</v>
      </c>
      <c r="H98" s="161" t="e">
        <f>#REF!</f>
        <v>#REF!</v>
      </c>
    </row>
    <row r="99" spans="1:8" x14ac:dyDescent="0.3">
      <c r="A99" s="161" t="e">
        <f>#REF!</f>
        <v>#REF!</v>
      </c>
      <c r="B99" s="161" t="e">
        <f>#REF!</f>
        <v>#REF!</v>
      </c>
      <c r="C99" s="161" t="e">
        <f>#REF!</f>
        <v>#REF!</v>
      </c>
      <c r="D99" s="161" t="e">
        <f>#REF!</f>
        <v>#REF!</v>
      </c>
      <c r="E99" s="161" t="e">
        <f>#REF!</f>
        <v>#REF!</v>
      </c>
      <c r="F99" s="161" t="e">
        <f>#REF!</f>
        <v>#REF!</v>
      </c>
      <c r="G99" s="161" t="e">
        <f>#REF!</f>
        <v>#REF!</v>
      </c>
      <c r="H99" s="161" t="e">
        <f>#REF!</f>
        <v>#REF!</v>
      </c>
    </row>
    <row r="100" spans="1:8" x14ac:dyDescent="0.3">
      <c r="A100" s="161" t="e">
        <f>#REF!</f>
        <v>#REF!</v>
      </c>
      <c r="B100" s="161" t="e">
        <f>#REF!</f>
        <v>#REF!</v>
      </c>
      <c r="C100" s="161" t="e">
        <f>#REF!</f>
        <v>#REF!</v>
      </c>
      <c r="D100" s="161" t="e">
        <f>#REF!</f>
        <v>#REF!</v>
      </c>
      <c r="E100" s="161" t="e">
        <f>#REF!</f>
        <v>#REF!</v>
      </c>
      <c r="F100" s="161" t="e">
        <f>#REF!</f>
        <v>#REF!</v>
      </c>
      <c r="G100" s="161" t="e">
        <f>#REF!</f>
        <v>#REF!</v>
      </c>
      <c r="H100" s="161" t="e">
        <f>#REF!</f>
        <v>#REF!</v>
      </c>
    </row>
    <row r="101" spans="1:8" x14ac:dyDescent="0.3">
      <c r="A101" s="161" t="e">
        <f>#REF!</f>
        <v>#REF!</v>
      </c>
      <c r="B101" s="161" t="e">
        <f>#REF!</f>
        <v>#REF!</v>
      </c>
      <c r="C101" s="161" t="e">
        <f>#REF!</f>
        <v>#REF!</v>
      </c>
      <c r="D101" s="161" t="e">
        <f>#REF!</f>
        <v>#REF!</v>
      </c>
      <c r="E101" s="161" t="e">
        <f>#REF!</f>
        <v>#REF!</v>
      </c>
      <c r="F101" s="161" t="e">
        <f>#REF!</f>
        <v>#REF!</v>
      </c>
      <c r="G101" s="161" t="e">
        <f>#REF!</f>
        <v>#REF!</v>
      </c>
      <c r="H101" s="161" t="e">
        <f>#REF!</f>
        <v>#REF!</v>
      </c>
    </row>
    <row r="102" spans="1:8" x14ac:dyDescent="0.3">
      <c r="A102" s="161" t="e">
        <f>#REF!</f>
        <v>#REF!</v>
      </c>
      <c r="B102" s="161" t="e">
        <f>#REF!</f>
        <v>#REF!</v>
      </c>
      <c r="C102" s="161" t="e">
        <f>#REF!</f>
        <v>#REF!</v>
      </c>
      <c r="D102" s="161" t="e">
        <f>#REF!</f>
        <v>#REF!</v>
      </c>
      <c r="E102" s="161" t="e">
        <f>#REF!</f>
        <v>#REF!</v>
      </c>
      <c r="F102" s="161" t="e">
        <f>#REF!</f>
        <v>#REF!</v>
      </c>
      <c r="G102" s="161" t="e">
        <f>#REF!</f>
        <v>#REF!</v>
      </c>
      <c r="H102" s="161" t="e">
        <f>#REF!</f>
        <v>#REF!</v>
      </c>
    </row>
    <row r="103" spans="1:8" x14ac:dyDescent="0.3">
      <c r="A103" s="161" t="e">
        <f>#REF!</f>
        <v>#REF!</v>
      </c>
      <c r="B103" s="161" t="e">
        <f>#REF!</f>
        <v>#REF!</v>
      </c>
      <c r="C103" s="161" t="e">
        <f>#REF!</f>
        <v>#REF!</v>
      </c>
      <c r="D103" s="161" t="e">
        <f>#REF!</f>
        <v>#REF!</v>
      </c>
      <c r="E103" s="161" t="e">
        <f>#REF!</f>
        <v>#REF!</v>
      </c>
      <c r="F103" s="161" t="e">
        <f>#REF!</f>
        <v>#REF!</v>
      </c>
      <c r="G103" s="161" t="e">
        <f>#REF!</f>
        <v>#REF!</v>
      </c>
      <c r="H103" s="161" t="e">
        <f>#REF!</f>
        <v>#REF!</v>
      </c>
    </row>
    <row r="104" spans="1:8" x14ac:dyDescent="0.3">
      <c r="A104" s="161" t="e">
        <f>#REF!</f>
        <v>#REF!</v>
      </c>
      <c r="B104" s="161" t="e">
        <f>#REF!</f>
        <v>#REF!</v>
      </c>
      <c r="C104" s="161" t="e">
        <f>#REF!</f>
        <v>#REF!</v>
      </c>
      <c r="D104" s="161" t="e">
        <f>#REF!</f>
        <v>#REF!</v>
      </c>
      <c r="E104" s="161" t="e">
        <f>#REF!</f>
        <v>#REF!</v>
      </c>
      <c r="F104" s="161" t="e">
        <f>#REF!</f>
        <v>#REF!</v>
      </c>
      <c r="G104" s="161" t="e">
        <f>#REF!</f>
        <v>#REF!</v>
      </c>
      <c r="H104" s="161" t="e">
        <f>#REF!</f>
        <v>#REF!</v>
      </c>
    </row>
    <row r="105" spans="1:8" x14ac:dyDescent="0.3">
      <c r="A105" s="161" t="e">
        <f>#REF!</f>
        <v>#REF!</v>
      </c>
      <c r="B105" s="161" t="e">
        <f>#REF!</f>
        <v>#REF!</v>
      </c>
      <c r="C105" s="161" t="e">
        <f>#REF!</f>
        <v>#REF!</v>
      </c>
      <c r="D105" s="161" t="e">
        <f>#REF!</f>
        <v>#REF!</v>
      </c>
      <c r="E105" s="161" t="e">
        <f>#REF!</f>
        <v>#REF!</v>
      </c>
      <c r="F105" s="161" t="e">
        <f>#REF!</f>
        <v>#REF!</v>
      </c>
      <c r="G105" s="161" t="e">
        <f>#REF!</f>
        <v>#REF!</v>
      </c>
      <c r="H105" s="161" t="e">
        <f>#REF!</f>
        <v>#REF!</v>
      </c>
    </row>
    <row r="106" spans="1:8" x14ac:dyDescent="0.3">
      <c r="A106" s="161" t="e">
        <f>#REF!</f>
        <v>#REF!</v>
      </c>
      <c r="B106" s="161" t="e">
        <f>#REF!</f>
        <v>#REF!</v>
      </c>
      <c r="C106" s="161" t="e">
        <f>#REF!</f>
        <v>#REF!</v>
      </c>
      <c r="D106" s="161" t="e">
        <f>#REF!</f>
        <v>#REF!</v>
      </c>
      <c r="E106" s="161" t="e">
        <f>#REF!</f>
        <v>#REF!</v>
      </c>
      <c r="F106" s="161" t="e">
        <f>#REF!</f>
        <v>#REF!</v>
      </c>
      <c r="G106" s="161" t="e">
        <f>#REF!</f>
        <v>#REF!</v>
      </c>
      <c r="H106" s="161" t="e">
        <f>#REF!</f>
        <v>#REF!</v>
      </c>
    </row>
    <row r="107" spans="1:8" x14ac:dyDescent="0.3">
      <c r="A107" s="161" t="e">
        <f>#REF!</f>
        <v>#REF!</v>
      </c>
      <c r="B107" s="161" t="e">
        <f>#REF!</f>
        <v>#REF!</v>
      </c>
      <c r="C107" s="161" t="e">
        <f>#REF!</f>
        <v>#REF!</v>
      </c>
      <c r="D107" s="161" t="e">
        <f>#REF!</f>
        <v>#REF!</v>
      </c>
      <c r="E107" s="161" t="e">
        <f>#REF!</f>
        <v>#REF!</v>
      </c>
      <c r="F107" s="161" t="e">
        <f>#REF!</f>
        <v>#REF!</v>
      </c>
      <c r="G107" s="161" t="e">
        <f>#REF!</f>
        <v>#REF!</v>
      </c>
      <c r="H107" s="161" t="e">
        <f>#REF!</f>
        <v>#REF!</v>
      </c>
    </row>
    <row r="108" spans="1:8" x14ac:dyDescent="0.3">
      <c r="A108" s="161" t="e">
        <f>#REF!</f>
        <v>#REF!</v>
      </c>
      <c r="B108" s="161" t="e">
        <f>#REF!</f>
        <v>#REF!</v>
      </c>
      <c r="C108" s="161" t="e">
        <f>#REF!</f>
        <v>#REF!</v>
      </c>
      <c r="D108" s="161" t="e">
        <f>#REF!</f>
        <v>#REF!</v>
      </c>
      <c r="E108" s="161" t="e">
        <f>#REF!</f>
        <v>#REF!</v>
      </c>
      <c r="F108" s="161" t="e">
        <f>#REF!</f>
        <v>#REF!</v>
      </c>
      <c r="G108" s="161" t="e">
        <f>#REF!</f>
        <v>#REF!</v>
      </c>
      <c r="H108" s="161" t="e">
        <f>#REF!</f>
        <v>#REF!</v>
      </c>
    </row>
    <row r="109" spans="1:8" x14ac:dyDescent="0.3">
      <c r="A109" s="161" t="e">
        <f>#REF!</f>
        <v>#REF!</v>
      </c>
      <c r="B109" s="161" t="e">
        <f>#REF!</f>
        <v>#REF!</v>
      </c>
      <c r="C109" s="161" t="e">
        <f>#REF!</f>
        <v>#REF!</v>
      </c>
      <c r="D109" s="161" t="e">
        <f>#REF!</f>
        <v>#REF!</v>
      </c>
      <c r="E109" s="161" t="e">
        <f>#REF!</f>
        <v>#REF!</v>
      </c>
      <c r="F109" s="161" t="e">
        <f>#REF!</f>
        <v>#REF!</v>
      </c>
      <c r="G109" s="161" t="e">
        <f>#REF!</f>
        <v>#REF!</v>
      </c>
      <c r="H109" s="161" t="e">
        <f>#REF!</f>
        <v>#REF!</v>
      </c>
    </row>
    <row r="110" spans="1:8" x14ac:dyDescent="0.3">
      <c r="A110" s="161" t="e">
        <f>#REF!</f>
        <v>#REF!</v>
      </c>
      <c r="B110" s="161" t="e">
        <f>#REF!</f>
        <v>#REF!</v>
      </c>
      <c r="C110" s="161" t="e">
        <f>#REF!</f>
        <v>#REF!</v>
      </c>
      <c r="D110" s="161" t="e">
        <f>#REF!</f>
        <v>#REF!</v>
      </c>
      <c r="E110" s="161" t="e">
        <f>#REF!</f>
        <v>#REF!</v>
      </c>
      <c r="F110" s="161" t="e">
        <f>#REF!</f>
        <v>#REF!</v>
      </c>
      <c r="G110" s="161" t="e">
        <f>#REF!</f>
        <v>#REF!</v>
      </c>
      <c r="H110" s="161" t="e">
        <f>#REF!</f>
        <v>#REF!</v>
      </c>
    </row>
    <row r="111" spans="1:8" x14ac:dyDescent="0.3">
      <c r="A111" s="161" t="e">
        <f>#REF!</f>
        <v>#REF!</v>
      </c>
      <c r="B111" s="161" t="e">
        <f>#REF!</f>
        <v>#REF!</v>
      </c>
      <c r="C111" s="161" t="e">
        <f>#REF!</f>
        <v>#REF!</v>
      </c>
      <c r="D111" s="161" t="e">
        <f>#REF!</f>
        <v>#REF!</v>
      </c>
      <c r="E111" s="161" t="e">
        <f>#REF!</f>
        <v>#REF!</v>
      </c>
      <c r="F111" s="161" t="e">
        <f>#REF!</f>
        <v>#REF!</v>
      </c>
      <c r="G111" s="161" t="e">
        <f>#REF!</f>
        <v>#REF!</v>
      </c>
      <c r="H111" s="161" t="e">
        <f>#REF!</f>
        <v>#REF!</v>
      </c>
    </row>
    <row r="112" spans="1:8" x14ac:dyDescent="0.3">
      <c r="A112" s="161" t="e">
        <f>#REF!</f>
        <v>#REF!</v>
      </c>
      <c r="B112" s="161" t="e">
        <f>#REF!</f>
        <v>#REF!</v>
      </c>
      <c r="C112" s="161" t="e">
        <f>#REF!</f>
        <v>#REF!</v>
      </c>
      <c r="D112" s="161" t="e">
        <f>#REF!</f>
        <v>#REF!</v>
      </c>
      <c r="E112" s="161" t="e">
        <f>#REF!</f>
        <v>#REF!</v>
      </c>
      <c r="F112" s="161" t="e">
        <f>#REF!</f>
        <v>#REF!</v>
      </c>
      <c r="G112" s="161" t="e">
        <f>#REF!</f>
        <v>#REF!</v>
      </c>
      <c r="H112" s="161" t="e">
        <f>#REF!</f>
        <v>#REF!</v>
      </c>
    </row>
    <row r="113" spans="1:8" x14ac:dyDescent="0.3">
      <c r="A113" s="161" t="e">
        <f>#REF!</f>
        <v>#REF!</v>
      </c>
      <c r="B113" s="161" t="e">
        <f>#REF!</f>
        <v>#REF!</v>
      </c>
      <c r="C113" s="161" t="e">
        <f>#REF!</f>
        <v>#REF!</v>
      </c>
      <c r="D113" s="161" t="e">
        <f>#REF!</f>
        <v>#REF!</v>
      </c>
      <c r="E113" s="161" t="e">
        <f>#REF!</f>
        <v>#REF!</v>
      </c>
      <c r="F113" s="161" t="e">
        <f>#REF!</f>
        <v>#REF!</v>
      </c>
      <c r="G113" s="161" t="e">
        <f>#REF!</f>
        <v>#REF!</v>
      </c>
      <c r="H113" s="161" t="e">
        <f>#REF!</f>
        <v>#REF!</v>
      </c>
    </row>
    <row r="114" spans="1:8" x14ac:dyDescent="0.3">
      <c r="A114" s="161" t="e">
        <f>#REF!</f>
        <v>#REF!</v>
      </c>
      <c r="B114" s="161" t="e">
        <f>#REF!</f>
        <v>#REF!</v>
      </c>
      <c r="C114" s="161" t="e">
        <f>#REF!</f>
        <v>#REF!</v>
      </c>
      <c r="D114" s="161" t="e">
        <f>#REF!</f>
        <v>#REF!</v>
      </c>
      <c r="E114" s="161" t="e">
        <f>#REF!</f>
        <v>#REF!</v>
      </c>
      <c r="F114" s="161" t="e">
        <f>#REF!</f>
        <v>#REF!</v>
      </c>
      <c r="G114" s="161" t="e">
        <f>#REF!</f>
        <v>#REF!</v>
      </c>
      <c r="H114" s="161" t="e">
        <f>#REF!</f>
        <v>#REF!</v>
      </c>
    </row>
    <row r="115" spans="1:8" x14ac:dyDescent="0.3">
      <c r="A115" s="161" t="e">
        <f>#REF!</f>
        <v>#REF!</v>
      </c>
      <c r="B115" s="161" t="e">
        <f>#REF!</f>
        <v>#REF!</v>
      </c>
      <c r="C115" s="161" t="e">
        <f>#REF!</f>
        <v>#REF!</v>
      </c>
      <c r="D115" s="161" t="e">
        <f>#REF!</f>
        <v>#REF!</v>
      </c>
      <c r="E115" s="161" t="e">
        <f>#REF!</f>
        <v>#REF!</v>
      </c>
      <c r="F115" s="161" t="e">
        <f>#REF!</f>
        <v>#REF!</v>
      </c>
      <c r="G115" s="161" t="e">
        <f>#REF!</f>
        <v>#REF!</v>
      </c>
      <c r="H115" s="161" t="e">
        <f>#REF!</f>
        <v>#REF!</v>
      </c>
    </row>
    <row r="116" spans="1:8" x14ac:dyDescent="0.3">
      <c r="A116" s="161" t="e">
        <f>#REF!</f>
        <v>#REF!</v>
      </c>
      <c r="B116" s="161" t="e">
        <f>#REF!</f>
        <v>#REF!</v>
      </c>
      <c r="C116" s="161" t="e">
        <f>#REF!</f>
        <v>#REF!</v>
      </c>
      <c r="D116" s="161" t="e">
        <f>#REF!</f>
        <v>#REF!</v>
      </c>
      <c r="E116" s="161" t="e">
        <f>#REF!</f>
        <v>#REF!</v>
      </c>
      <c r="F116" s="161" t="e">
        <f>#REF!</f>
        <v>#REF!</v>
      </c>
      <c r="G116" s="161" t="e">
        <f>#REF!</f>
        <v>#REF!</v>
      </c>
      <c r="H116" s="161" t="e">
        <f>#REF!</f>
        <v>#REF!</v>
      </c>
    </row>
    <row r="117" spans="1:8" x14ac:dyDescent="0.3">
      <c r="A117" s="161" t="e">
        <f>#REF!</f>
        <v>#REF!</v>
      </c>
      <c r="B117" s="161" t="e">
        <f>#REF!</f>
        <v>#REF!</v>
      </c>
      <c r="C117" s="161" t="e">
        <f>#REF!</f>
        <v>#REF!</v>
      </c>
      <c r="D117" s="161" t="e">
        <f>#REF!</f>
        <v>#REF!</v>
      </c>
      <c r="E117" s="161" t="e">
        <f>#REF!</f>
        <v>#REF!</v>
      </c>
      <c r="F117" s="161" t="e">
        <f>#REF!</f>
        <v>#REF!</v>
      </c>
      <c r="G117" s="161" t="e">
        <f>#REF!</f>
        <v>#REF!</v>
      </c>
      <c r="H117" s="161" t="e">
        <f>#REF!</f>
        <v>#REF!</v>
      </c>
    </row>
    <row r="118" spans="1:8" x14ac:dyDescent="0.3">
      <c r="A118" s="161" t="e">
        <f>#REF!</f>
        <v>#REF!</v>
      </c>
      <c r="B118" s="161" t="e">
        <f>#REF!</f>
        <v>#REF!</v>
      </c>
      <c r="C118" s="161" t="e">
        <f>#REF!</f>
        <v>#REF!</v>
      </c>
      <c r="D118" s="161" t="e">
        <f>#REF!</f>
        <v>#REF!</v>
      </c>
      <c r="E118" s="161" t="e">
        <f>#REF!</f>
        <v>#REF!</v>
      </c>
      <c r="F118" s="161" t="e">
        <f>#REF!</f>
        <v>#REF!</v>
      </c>
      <c r="G118" s="161" t="e">
        <f>#REF!</f>
        <v>#REF!</v>
      </c>
      <c r="H118" s="161" t="e">
        <f>#REF!</f>
        <v>#REF!</v>
      </c>
    </row>
    <row r="119" spans="1:8" x14ac:dyDescent="0.3">
      <c r="A119" s="161" t="e">
        <f>#REF!</f>
        <v>#REF!</v>
      </c>
      <c r="B119" s="161" t="e">
        <f>#REF!</f>
        <v>#REF!</v>
      </c>
      <c r="C119" s="161" t="e">
        <f>#REF!</f>
        <v>#REF!</v>
      </c>
      <c r="D119" s="161" t="e">
        <f>#REF!</f>
        <v>#REF!</v>
      </c>
      <c r="E119" s="161" t="e">
        <f>#REF!</f>
        <v>#REF!</v>
      </c>
      <c r="F119" s="161" t="e">
        <f>#REF!</f>
        <v>#REF!</v>
      </c>
      <c r="G119" s="161" t="e">
        <f>#REF!</f>
        <v>#REF!</v>
      </c>
      <c r="H119" s="161" t="e">
        <f>#REF!</f>
        <v>#REF!</v>
      </c>
    </row>
    <row r="120" spans="1:8" x14ac:dyDescent="0.3">
      <c r="A120" s="161" t="e">
        <f>#REF!</f>
        <v>#REF!</v>
      </c>
      <c r="B120" s="161" t="e">
        <f>#REF!</f>
        <v>#REF!</v>
      </c>
      <c r="C120" s="161" t="e">
        <f>#REF!</f>
        <v>#REF!</v>
      </c>
      <c r="D120" s="161" t="e">
        <f>#REF!</f>
        <v>#REF!</v>
      </c>
      <c r="E120" s="161" t="e">
        <f>#REF!</f>
        <v>#REF!</v>
      </c>
      <c r="F120" s="161" t="e">
        <f>#REF!</f>
        <v>#REF!</v>
      </c>
      <c r="G120" s="161" t="e">
        <f>#REF!</f>
        <v>#REF!</v>
      </c>
      <c r="H120" s="161" t="e">
        <f>#REF!</f>
        <v>#REF!</v>
      </c>
    </row>
    <row r="121" spans="1:8" x14ac:dyDescent="0.3">
      <c r="A121" s="161" t="e">
        <f>#REF!</f>
        <v>#REF!</v>
      </c>
      <c r="B121" s="161" t="e">
        <f>#REF!</f>
        <v>#REF!</v>
      </c>
      <c r="C121" s="161" t="e">
        <f>#REF!</f>
        <v>#REF!</v>
      </c>
      <c r="D121" s="161" t="e">
        <f>#REF!</f>
        <v>#REF!</v>
      </c>
      <c r="E121" s="161" t="e">
        <f>#REF!</f>
        <v>#REF!</v>
      </c>
      <c r="F121" s="161" t="e">
        <f>#REF!</f>
        <v>#REF!</v>
      </c>
      <c r="G121" s="161" t="e">
        <f>#REF!</f>
        <v>#REF!</v>
      </c>
      <c r="H121" s="161" t="e">
        <f>#REF!</f>
        <v>#REF!</v>
      </c>
    </row>
    <row r="122" spans="1:8" x14ac:dyDescent="0.3">
      <c r="A122" s="161" t="e">
        <f>#REF!</f>
        <v>#REF!</v>
      </c>
      <c r="B122" s="161" t="e">
        <f>#REF!</f>
        <v>#REF!</v>
      </c>
      <c r="C122" s="161" t="e">
        <f>#REF!</f>
        <v>#REF!</v>
      </c>
      <c r="D122" s="161" t="e">
        <f>#REF!</f>
        <v>#REF!</v>
      </c>
      <c r="E122" s="161" t="e">
        <f>#REF!</f>
        <v>#REF!</v>
      </c>
      <c r="F122" s="161" t="e">
        <f>#REF!</f>
        <v>#REF!</v>
      </c>
      <c r="G122" s="161" t="e">
        <f>#REF!</f>
        <v>#REF!</v>
      </c>
      <c r="H122" s="161" t="e">
        <f>#REF!</f>
        <v>#REF!</v>
      </c>
    </row>
    <row r="123" spans="1:8" x14ac:dyDescent="0.3">
      <c r="A123" s="161" t="e">
        <f>#REF!</f>
        <v>#REF!</v>
      </c>
      <c r="B123" s="161" t="e">
        <f>#REF!</f>
        <v>#REF!</v>
      </c>
      <c r="C123" s="161" t="e">
        <f>#REF!</f>
        <v>#REF!</v>
      </c>
      <c r="D123" s="161" t="e">
        <f>#REF!</f>
        <v>#REF!</v>
      </c>
      <c r="E123" s="161" t="e">
        <f>#REF!</f>
        <v>#REF!</v>
      </c>
      <c r="F123" s="161" t="e">
        <f>#REF!</f>
        <v>#REF!</v>
      </c>
      <c r="G123" s="161" t="e">
        <f>#REF!</f>
        <v>#REF!</v>
      </c>
      <c r="H123" s="161" t="e">
        <f>#REF!</f>
        <v>#REF!</v>
      </c>
    </row>
    <row r="124" spans="1:8" x14ac:dyDescent="0.3">
      <c r="A124" s="161" t="e">
        <f>#REF!</f>
        <v>#REF!</v>
      </c>
      <c r="B124" s="161" t="e">
        <f>#REF!</f>
        <v>#REF!</v>
      </c>
      <c r="C124" s="161" t="e">
        <f>#REF!</f>
        <v>#REF!</v>
      </c>
      <c r="D124" s="161" t="e">
        <f>#REF!</f>
        <v>#REF!</v>
      </c>
      <c r="E124" s="161" t="e">
        <f>#REF!</f>
        <v>#REF!</v>
      </c>
      <c r="F124" s="161" t="e">
        <f>#REF!</f>
        <v>#REF!</v>
      </c>
      <c r="G124" s="161" t="e">
        <f>#REF!</f>
        <v>#REF!</v>
      </c>
      <c r="H124" s="161" t="e">
        <f>#REF!</f>
        <v>#REF!</v>
      </c>
    </row>
    <row r="125" spans="1:8" x14ac:dyDescent="0.3">
      <c r="A125" s="161" t="e">
        <f>#REF!</f>
        <v>#REF!</v>
      </c>
      <c r="B125" s="161" t="e">
        <f>#REF!</f>
        <v>#REF!</v>
      </c>
      <c r="C125" s="161" t="e">
        <f>#REF!</f>
        <v>#REF!</v>
      </c>
      <c r="D125" s="161" t="e">
        <f>#REF!</f>
        <v>#REF!</v>
      </c>
      <c r="E125" s="161" t="e">
        <f>#REF!</f>
        <v>#REF!</v>
      </c>
      <c r="F125" s="161" t="e">
        <f>#REF!</f>
        <v>#REF!</v>
      </c>
      <c r="G125" s="161" t="e">
        <f>#REF!</f>
        <v>#REF!</v>
      </c>
      <c r="H125" s="161" t="e">
        <f>#REF!</f>
        <v>#REF!</v>
      </c>
    </row>
    <row r="126" spans="1:8" x14ac:dyDescent="0.3">
      <c r="A126" s="161" t="e">
        <f>#REF!</f>
        <v>#REF!</v>
      </c>
      <c r="B126" s="161" t="e">
        <f>#REF!</f>
        <v>#REF!</v>
      </c>
      <c r="C126" s="161" t="e">
        <f>#REF!</f>
        <v>#REF!</v>
      </c>
      <c r="D126" s="161" t="e">
        <f>#REF!</f>
        <v>#REF!</v>
      </c>
      <c r="E126" s="161" t="e">
        <f>#REF!</f>
        <v>#REF!</v>
      </c>
      <c r="F126" s="161" t="e">
        <f>#REF!</f>
        <v>#REF!</v>
      </c>
      <c r="G126" s="161" t="e">
        <f>#REF!</f>
        <v>#REF!</v>
      </c>
      <c r="H126" s="161" t="e">
        <f>#REF!</f>
        <v>#REF!</v>
      </c>
    </row>
    <row r="127" spans="1:8" x14ac:dyDescent="0.3">
      <c r="A127" s="161" t="e">
        <f>#REF!</f>
        <v>#REF!</v>
      </c>
      <c r="B127" s="161" t="e">
        <f>#REF!</f>
        <v>#REF!</v>
      </c>
      <c r="C127" s="161" t="e">
        <f>#REF!</f>
        <v>#REF!</v>
      </c>
      <c r="D127" s="161" t="e">
        <f>#REF!</f>
        <v>#REF!</v>
      </c>
      <c r="E127" s="161" t="e">
        <f>#REF!</f>
        <v>#REF!</v>
      </c>
      <c r="F127" s="161" t="e">
        <f>#REF!</f>
        <v>#REF!</v>
      </c>
      <c r="G127" s="161" t="e">
        <f>#REF!</f>
        <v>#REF!</v>
      </c>
      <c r="H127" s="161" t="e">
        <f>#REF!</f>
        <v>#REF!</v>
      </c>
    </row>
    <row r="128" spans="1:8" x14ac:dyDescent="0.3">
      <c r="A128" s="161" t="e">
        <f>#REF!</f>
        <v>#REF!</v>
      </c>
      <c r="B128" s="161" t="e">
        <f>#REF!</f>
        <v>#REF!</v>
      </c>
      <c r="C128" s="161" t="e">
        <f>#REF!</f>
        <v>#REF!</v>
      </c>
      <c r="D128" s="161" t="e">
        <f>#REF!</f>
        <v>#REF!</v>
      </c>
      <c r="E128" s="161" t="e">
        <f>#REF!</f>
        <v>#REF!</v>
      </c>
      <c r="F128" s="161" t="e">
        <f>#REF!</f>
        <v>#REF!</v>
      </c>
      <c r="G128" s="161" t="e">
        <f>#REF!</f>
        <v>#REF!</v>
      </c>
      <c r="H128" s="161" t="e">
        <f>#REF!</f>
        <v>#REF!</v>
      </c>
    </row>
    <row r="129" spans="1:8" x14ac:dyDescent="0.3">
      <c r="A129" s="161" t="e">
        <f>#REF!</f>
        <v>#REF!</v>
      </c>
      <c r="B129" s="161" t="e">
        <f>#REF!</f>
        <v>#REF!</v>
      </c>
      <c r="C129" s="161" t="e">
        <f>#REF!</f>
        <v>#REF!</v>
      </c>
      <c r="D129" s="161" t="e">
        <f>#REF!</f>
        <v>#REF!</v>
      </c>
      <c r="E129" s="161" t="e">
        <f>#REF!</f>
        <v>#REF!</v>
      </c>
      <c r="F129" s="161" t="e">
        <f>#REF!</f>
        <v>#REF!</v>
      </c>
      <c r="G129" s="161" t="e">
        <f>#REF!</f>
        <v>#REF!</v>
      </c>
      <c r="H129" s="161" t="e">
        <f>#REF!</f>
        <v>#REF!</v>
      </c>
    </row>
    <row r="130" spans="1:8" x14ac:dyDescent="0.3">
      <c r="A130" s="161" t="e">
        <f>#REF!</f>
        <v>#REF!</v>
      </c>
      <c r="B130" s="161" t="e">
        <f>#REF!</f>
        <v>#REF!</v>
      </c>
      <c r="C130" s="161" t="e">
        <f>#REF!</f>
        <v>#REF!</v>
      </c>
      <c r="D130" s="161" t="e">
        <f>#REF!</f>
        <v>#REF!</v>
      </c>
      <c r="E130" s="161" t="e">
        <f>#REF!</f>
        <v>#REF!</v>
      </c>
      <c r="F130" s="161" t="e">
        <f>#REF!</f>
        <v>#REF!</v>
      </c>
      <c r="G130" s="161" t="e">
        <f>#REF!</f>
        <v>#REF!</v>
      </c>
      <c r="H130" s="161" t="e">
        <f>#REF!</f>
        <v>#REF!</v>
      </c>
    </row>
    <row r="131" spans="1:8" x14ac:dyDescent="0.3">
      <c r="A131" s="161" t="e">
        <f>#REF!</f>
        <v>#REF!</v>
      </c>
      <c r="B131" s="161" t="e">
        <f>#REF!</f>
        <v>#REF!</v>
      </c>
      <c r="C131" s="161" t="e">
        <f>#REF!</f>
        <v>#REF!</v>
      </c>
      <c r="D131" s="161" t="e">
        <f>#REF!</f>
        <v>#REF!</v>
      </c>
      <c r="E131" s="161" t="e">
        <f>#REF!</f>
        <v>#REF!</v>
      </c>
      <c r="F131" s="161" t="e">
        <f>#REF!</f>
        <v>#REF!</v>
      </c>
      <c r="G131" s="161" t="e">
        <f>#REF!</f>
        <v>#REF!</v>
      </c>
      <c r="H131" s="161" t="e">
        <f>#REF!</f>
        <v>#REF!</v>
      </c>
    </row>
    <row r="132" spans="1:8" x14ac:dyDescent="0.3">
      <c r="A132" s="161" t="e">
        <f>#REF!</f>
        <v>#REF!</v>
      </c>
      <c r="B132" s="161" t="e">
        <f>#REF!</f>
        <v>#REF!</v>
      </c>
      <c r="C132" s="161" t="e">
        <f>#REF!</f>
        <v>#REF!</v>
      </c>
      <c r="D132" s="161" t="e">
        <f>#REF!</f>
        <v>#REF!</v>
      </c>
      <c r="E132" s="161" t="e">
        <f>#REF!</f>
        <v>#REF!</v>
      </c>
      <c r="F132" s="161" t="e">
        <f>#REF!</f>
        <v>#REF!</v>
      </c>
      <c r="G132" s="161" t="e">
        <f>#REF!</f>
        <v>#REF!</v>
      </c>
      <c r="H132" s="161" t="e">
        <f>#REF!</f>
        <v>#REF!</v>
      </c>
    </row>
    <row r="133" spans="1:8" x14ac:dyDescent="0.3">
      <c r="A133" s="161" t="e">
        <f>#REF!</f>
        <v>#REF!</v>
      </c>
      <c r="B133" s="161" t="e">
        <f>#REF!</f>
        <v>#REF!</v>
      </c>
      <c r="C133" s="161" t="e">
        <f>#REF!</f>
        <v>#REF!</v>
      </c>
      <c r="D133" s="161" t="e">
        <f>#REF!</f>
        <v>#REF!</v>
      </c>
      <c r="E133" s="161" t="e">
        <f>#REF!</f>
        <v>#REF!</v>
      </c>
      <c r="F133" s="161" t="e">
        <f>#REF!</f>
        <v>#REF!</v>
      </c>
      <c r="G133" s="161" t="e">
        <f>#REF!</f>
        <v>#REF!</v>
      </c>
      <c r="H133" s="161" t="e">
        <f>#REF!</f>
        <v>#REF!</v>
      </c>
    </row>
    <row r="134" spans="1:8" x14ac:dyDescent="0.3">
      <c r="A134" s="161" t="e">
        <f>#REF!</f>
        <v>#REF!</v>
      </c>
      <c r="B134" s="161" t="e">
        <f>#REF!</f>
        <v>#REF!</v>
      </c>
      <c r="C134" s="161" t="e">
        <f>#REF!</f>
        <v>#REF!</v>
      </c>
      <c r="D134" s="161" t="e">
        <f>#REF!</f>
        <v>#REF!</v>
      </c>
      <c r="E134" s="161" t="e">
        <f>#REF!</f>
        <v>#REF!</v>
      </c>
      <c r="F134" s="161" t="e">
        <f>#REF!</f>
        <v>#REF!</v>
      </c>
      <c r="G134" s="161" t="e">
        <f>#REF!</f>
        <v>#REF!</v>
      </c>
      <c r="H134" s="161" t="e">
        <f>#REF!</f>
        <v>#REF!</v>
      </c>
    </row>
    <row r="135" spans="1:8" x14ac:dyDescent="0.3">
      <c r="A135" s="161" t="e">
        <f>#REF!</f>
        <v>#REF!</v>
      </c>
      <c r="B135" s="161" t="e">
        <f>#REF!</f>
        <v>#REF!</v>
      </c>
      <c r="C135" s="161" t="e">
        <f>#REF!</f>
        <v>#REF!</v>
      </c>
      <c r="D135" s="161" t="e">
        <f>#REF!</f>
        <v>#REF!</v>
      </c>
      <c r="E135" s="161" t="e">
        <f>#REF!</f>
        <v>#REF!</v>
      </c>
      <c r="F135" s="161" t="e">
        <f>#REF!</f>
        <v>#REF!</v>
      </c>
      <c r="G135" s="161" t="e">
        <f>#REF!</f>
        <v>#REF!</v>
      </c>
      <c r="H135" s="161" t="e">
        <f>#REF!</f>
        <v>#REF!</v>
      </c>
    </row>
    <row r="136" spans="1:8" x14ac:dyDescent="0.3">
      <c r="A136" s="161" t="e">
        <f>#REF!</f>
        <v>#REF!</v>
      </c>
      <c r="B136" s="161" t="e">
        <f>#REF!</f>
        <v>#REF!</v>
      </c>
      <c r="C136" s="161" t="e">
        <f>#REF!</f>
        <v>#REF!</v>
      </c>
      <c r="D136" s="161" t="e">
        <f>#REF!</f>
        <v>#REF!</v>
      </c>
      <c r="E136" s="161" t="e">
        <f>#REF!</f>
        <v>#REF!</v>
      </c>
      <c r="F136" s="161" t="e">
        <f>#REF!</f>
        <v>#REF!</v>
      </c>
      <c r="G136" s="161" t="e">
        <f>#REF!</f>
        <v>#REF!</v>
      </c>
      <c r="H136" s="161" t="e">
        <f>#REF!</f>
        <v>#REF!</v>
      </c>
    </row>
    <row r="137" spans="1:8" x14ac:dyDescent="0.3">
      <c r="A137" s="161" t="e">
        <f>#REF!</f>
        <v>#REF!</v>
      </c>
      <c r="B137" s="161" t="e">
        <f>#REF!</f>
        <v>#REF!</v>
      </c>
      <c r="C137" s="161" t="e">
        <f>#REF!</f>
        <v>#REF!</v>
      </c>
      <c r="D137" s="161" t="e">
        <f>#REF!</f>
        <v>#REF!</v>
      </c>
      <c r="E137" s="161" t="e">
        <f>#REF!</f>
        <v>#REF!</v>
      </c>
      <c r="F137" s="161" t="e">
        <f>#REF!</f>
        <v>#REF!</v>
      </c>
      <c r="G137" s="161" t="e">
        <f>#REF!</f>
        <v>#REF!</v>
      </c>
      <c r="H137" s="161" t="e">
        <f>#REF!</f>
        <v>#REF!</v>
      </c>
    </row>
    <row r="138" spans="1:8" x14ac:dyDescent="0.3">
      <c r="A138" s="161" t="e">
        <f>#REF!</f>
        <v>#REF!</v>
      </c>
      <c r="B138" s="161" t="e">
        <f>#REF!</f>
        <v>#REF!</v>
      </c>
      <c r="C138" s="161" t="e">
        <f>#REF!</f>
        <v>#REF!</v>
      </c>
      <c r="D138" s="161" t="e">
        <f>#REF!</f>
        <v>#REF!</v>
      </c>
      <c r="E138" s="161" t="e">
        <f>#REF!</f>
        <v>#REF!</v>
      </c>
      <c r="F138" s="161" t="e">
        <f>#REF!</f>
        <v>#REF!</v>
      </c>
      <c r="G138" s="161" t="e">
        <f>#REF!</f>
        <v>#REF!</v>
      </c>
      <c r="H138" s="161" t="e">
        <f>#REF!</f>
        <v>#REF!</v>
      </c>
    </row>
    <row r="139" spans="1:8" x14ac:dyDescent="0.3">
      <c r="A139" s="161" t="e">
        <f>#REF!</f>
        <v>#REF!</v>
      </c>
      <c r="B139" s="161" t="e">
        <f>#REF!</f>
        <v>#REF!</v>
      </c>
      <c r="C139" s="161" t="e">
        <f>#REF!</f>
        <v>#REF!</v>
      </c>
      <c r="D139" s="161" t="e">
        <f>#REF!</f>
        <v>#REF!</v>
      </c>
      <c r="E139" s="161" t="e">
        <f>#REF!</f>
        <v>#REF!</v>
      </c>
      <c r="F139" s="161" t="e">
        <f>#REF!</f>
        <v>#REF!</v>
      </c>
      <c r="G139" s="161" t="e">
        <f>#REF!</f>
        <v>#REF!</v>
      </c>
      <c r="H139" s="161" t="e">
        <f>#REF!</f>
        <v>#REF!</v>
      </c>
    </row>
    <row r="140" spans="1:8" x14ac:dyDescent="0.3">
      <c r="A140" s="161" t="e">
        <f>#REF!</f>
        <v>#REF!</v>
      </c>
      <c r="B140" s="161" t="e">
        <f>#REF!</f>
        <v>#REF!</v>
      </c>
      <c r="C140" s="161" t="e">
        <f>#REF!</f>
        <v>#REF!</v>
      </c>
      <c r="D140" s="161" t="e">
        <f>#REF!</f>
        <v>#REF!</v>
      </c>
      <c r="E140" s="161" t="e">
        <f>#REF!</f>
        <v>#REF!</v>
      </c>
      <c r="F140" s="161" t="e">
        <f>#REF!</f>
        <v>#REF!</v>
      </c>
      <c r="G140" s="161" t="e">
        <f>#REF!</f>
        <v>#REF!</v>
      </c>
      <c r="H140" s="161" t="e">
        <f>#REF!</f>
        <v>#REF!</v>
      </c>
    </row>
    <row r="141" spans="1:8" x14ac:dyDescent="0.3">
      <c r="A141" s="161" t="e">
        <f>#REF!</f>
        <v>#REF!</v>
      </c>
      <c r="B141" s="161" t="e">
        <f>#REF!</f>
        <v>#REF!</v>
      </c>
      <c r="C141" s="161" t="e">
        <f>#REF!</f>
        <v>#REF!</v>
      </c>
      <c r="D141" s="161" t="e">
        <f>#REF!</f>
        <v>#REF!</v>
      </c>
      <c r="E141" s="161" t="e">
        <f>#REF!</f>
        <v>#REF!</v>
      </c>
      <c r="F141" s="161" t="e">
        <f>#REF!</f>
        <v>#REF!</v>
      </c>
      <c r="G141" s="161" t="e">
        <f>#REF!</f>
        <v>#REF!</v>
      </c>
      <c r="H141" s="161" t="e">
        <f>#REF!</f>
        <v>#REF!</v>
      </c>
    </row>
    <row r="142" spans="1:8" x14ac:dyDescent="0.3">
      <c r="A142" s="161" t="e">
        <f>#REF!</f>
        <v>#REF!</v>
      </c>
      <c r="B142" s="161" t="e">
        <f>#REF!</f>
        <v>#REF!</v>
      </c>
      <c r="C142" s="161" t="e">
        <f>#REF!</f>
        <v>#REF!</v>
      </c>
      <c r="D142" s="161" t="e">
        <f>#REF!</f>
        <v>#REF!</v>
      </c>
      <c r="E142" s="161" t="e">
        <f>#REF!</f>
        <v>#REF!</v>
      </c>
      <c r="F142" s="161" t="e">
        <f>#REF!</f>
        <v>#REF!</v>
      </c>
      <c r="G142" s="161" t="e">
        <f>#REF!</f>
        <v>#REF!</v>
      </c>
      <c r="H142" s="161" t="e">
        <f>#REF!</f>
        <v>#REF!</v>
      </c>
    </row>
    <row r="143" spans="1:8" x14ac:dyDescent="0.3">
      <c r="A143" s="161" t="e">
        <f>#REF!</f>
        <v>#REF!</v>
      </c>
      <c r="B143" s="161" t="e">
        <f>#REF!</f>
        <v>#REF!</v>
      </c>
      <c r="C143" s="161" t="e">
        <f>#REF!</f>
        <v>#REF!</v>
      </c>
      <c r="D143" s="161" t="e">
        <f>#REF!</f>
        <v>#REF!</v>
      </c>
      <c r="E143" s="161" t="e">
        <f>#REF!</f>
        <v>#REF!</v>
      </c>
      <c r="F143" s="161" t="e">
        <f>#REF!</f>
        <v>#REF!</v>
      </c>
      <c r="G143" s="161" t="e">
        <f>#REF!</f>
        <v>#REF!</v>
      </c>
      <c r="H143" s="161" t="e">
        <f>#REF!</f>
        <v>#REF!</v>
      </c>
    </row>
    <row r="144" spans="1:8" x14ac:dyDescent="0.3">
      <c r="A144" s="161" t="e">
        <f>#REF!</f>
        <v>#REF!</v>
      </c>
      <c r="B144" s="161" t="e">
        <f>#REF!</f>
        <v>#REF!</v>
      </c>
      <c r="C144" s="161" t="e">
        <f>#REF!</f>
        <v>#REF!</v>
      </c>
      <c r="D144" s="161" t="e">
        <f>#REF!</f>
        <v>#REF!</v>
      </c>
      <c r="E144" s="161" t="e">
        <f>#REF!</f>
        <v>#REF!</v>
      </c>
      <c r="F144" s="161" t="e">
        <f>#REF!</f>
        <v>#REF!</v>
      </c>
      <c r="G144" s="161" t="e">
        <f>#REF!</f>
        <v>#REF!</v>
      </c>
      <c r="H144" s="161" t="e">
        <f>#REF!</f>
        <v>#REF!</v>
      </c>
    </row>
    <row r="145" spans="1:8" x14ac:dyDescent="0.3">
      <c r="A145" s="161" t="e">
        <f>#REF!</f>
        <v>#REF!</v>
      </c>
      <c r="B145" s="161" t="e">
        <f>#REF!</f>
        <v>#REF!</v>
      </c>
      <c r="C145" s="161" t="e">
        <f>#REF!</f>
        <v>#REF!</v>
      </c>
      <c r="D145" s="161" t="e">
        <f>#REF!</f>
        <v>#REF!</v>
      </c>
      <c r="E145" s="161" t="e">
        <f>#REF!</f>
        <v>#REF!</v>
      </c>
      <c r="F145" s="161" t="e">
        <f>#REF!</f>
        <v>#REF!</v>
      </c>
      <c r="G145" s="161" t="e">
        <f>#REF!</f>
        <v>#REF!</v>
      </c>
      <c r="H145" s="161" t="e">
        <f>#REF!</f>
        <v>#REF!</v>
      </c>
    </row>
    <row r="146" spans="1:8" x14ac:dyDescent="0.3">
      <c r="A146" s="161" t="e">
        <f>#REF!</f>
        <v>#REF!</v>
      </c>
      <c r="B146" s="161" t="e">
        <f>#REF!</f>
        <v>#REF!</v>
      </c>
      <c r="C146" s="161" t="e">
        <f>#REF!</f>
        <v>#REF!</v>
      </c>
      <c r="D146" s="161" t="e">
        <f>#REF!</f>
        <v>#REF!</v>
      </c>
      <c r="E146" s="161" t="e">
        <f>#REF!</f>
        <v>#REF!</v>
      </c>
      <c r="F146" s="161" t="e">
        <f>#REF!</f>
        <v>#REF!</v>
      </c>
      <c r="G146" s="161" t="e">
        <f>#REF!</f>
        <v>#REF!</v>
      </c>
      <c r="H146" s="161" t="e">
        <f>#REF!</f>
        <v>#REF!</v>
      </c>
    </row>
    <row r="147" spans="1:8" x14ac:dyDescent="0.3">
      <c r="A147" s="161" t="e">
        <f>#REF!</f>
        <v>#REF!</v>
      </c>
      <c r="B147" s="161" t="e">
        <f>#REF!</f>
        <v>#REF!</v>
      </c>
      <c r="C147" s="161" t="e">
        <f>#REF!</f>
        <v>#REF!</v>
      </c>
      <c r="D147" s="161" t="e">
        <f>#REF!</f>
        <v>#REF!</v>
      </c>
      <c r="E147" s="161" t="e">
        <f>#REF!</f>
        <v>#REF!</v>
      </c>
      <c r="F147" s="161" t="e">
        <f>#REF!</f>
        <v>#REF!</v>
      </c>
      <c r="G147" s="161" t="e">
        <f>#REF!</f>
        <v>#REF!</v>
      </c>
      <c r="H147" s="161" t="e">
        <f>#REF!</f>
        <v>#REF!</v>
      </c>
    </row>
    <row r="148" spans="1:8" x14ac:dyDescent="0.3">
      <c r="A148" s="161" t="e">
        <f>#REF!</f>
        <v>#REF!</v>
      </c>
      <c r="B148" s="161" t="e">
        <f>#REF!</f>
        <v>#REF!</v>
      </c>
      <c r="C148" s="161" t="e">
        <f>#REF!</f>
        <v>#REF!</v>
      </c>
      <c r="D148" s="161" t="e">
        <f>#REF!</f>
        <v>#REF!</v>
      </c>
      <c r="E148" s="161" t="e">
        <f>#REF!</f>
        <v>#REF!</v>
      </c>
      <c r="F148" s="161" t="e">
        <f>#REF!</f>
        <v>#REF!</v>
      </c>
      <c r="G148" s="161" t="e">
        <f>#REF!</f>
        <v>#REF!</v>
      </c>
      <c r="H148" s="161" t="e">
        <f>#REF!</f>
        <v>#REF!</v>
      </c>
    </row>
    <row r="149" spans="1:8" x14ac:dyDescent="0.3">
      <c r="A149" s="161" t="e">
        <f>#REF!</f>
        <v>#REF!</v>
      </c>
      <c r="B149" s="161" t="e">
        <f>#REF!</f>
        <v>#REF!</v>
      </c>
      <c r="C149" s="161" t="e">
        <f>#REF!</f>
        <v>#REF!</v>
      </c>
      <c r="D149" s="161" t="e">
        <f>#REF!</f>
        <v>#REF!</v>
      </c>
      <c r="E149" s="161" t="e">
        <f>#REF!</f>
        <v>#REF!</v>
      </c>
      <c r="F149" s="161" t="e">
        <f>#REF!</f>
        <v>#REF!</v>
      </c>
      <c r="G149" s="161" t="e">
        <f>#REF!</f>
        <v>#REF!</v>
      </c>
      <c r="H149" s="161" t="e">
        <f>#REF!</f>
        <v>#REF!</v>
      </c>
    </row>
    <row r="150" spans="1:8" x14ac:dyDescent="0.3">
      <c r="A150" s="161" t="e">
        <f>#REF!</f>
        <v>#REF!</v>
      </c>
      <c r="B150" s="161" t="e">
        <f>#REF!</f>
        <v>#REF!</v>
      </c>
      <c r="C150" s="161" t="e">
        <f>#REF!</f>
        <v>#REF!</v>
      </c>
      <c r="D150" s="161" t="e">
        <f>#REF!</f>
        <v>#REF!</v>
      </c>
      <c r="E150" s="161" t="e">
        <f>#REF!</f>
        <v>#REF!</v>
      </c>
      <c r="F150" s="161" t="e">
        <f>#REF!</f>
        <v>#REF!</v>
      </c>
      <c r="G150" s="161" t="e">
        <f>#REF!</f>
        <v>#REF!</v>
      </c>
      <c r="H150" s="161" t="e">
        <f>#REF!</f>
        <v>#REF!</v>
      </c>
    </row>
    <row r="151" spans="1:8" x14ac:dyDescent="0.3">
      <c r="A151" s="161" t="e">
        <f>#REF!</f>
        <v>#REF!</v>
      </c>
      <c r="B151" s="161" t="e">
        <f>#REF!</f>
        <v>#REF!</v>
      </c>
      <c r="C151" s="161" t="e">
        <f>#REF!</f>
        <v>#REF!</v>
      </c>
      <c r="D151" s="161" t="e">
        <f>#REF!</f>
        <v>#REF!</v>
      </c>
      <c r="E151" s="161" t="e">
        <f>#REF!</f>
        <v>#REF!</v>
      </c>
      <c r="F151" s="161" t="e">
        <f>#REF!</f>
        <v>#REF!</v>
      </c>
      <c r="G151" s="161" t="e">
        <f>#REF!</f>
        <v>#REF!</v>
      </c>
      <c r="H151" s="161" t="e">
        <f>#REF!</f>
        <v>#REF!</v>
      </c>
    </row>
    <row r="152" spans="1:8" x14ac:dyDescent="0.3">
      <c r="A152" s="161" t="e">
        <f>#REF!</f>
        <v>#REF!</v>
      </c>
      <c r="B152" s="161" t="e">
        <f>#REF!</f>
        <v>#REF!</v>
      </c>
      <c r="C152" s="161" t="e">
        <f>#REF!</f>
        <v>#REF!</v>
      </c>
      <c r="D152" s="161" t="e">
        <f>#REF!</f>
        <v>#REF!</v>
      </c>
      <c r="E152" s="161" t="e">
        <f>#REF!</f>
        <v>#REF!</v>
      </c>
      <c r="F152" s="161" t="e">
        <f>#REF!</f>
        <v>#REF!</v>
      </c>
      <c r="G152" s="161" t="e">
        <f>#REF!</f>
        <v>#REF!</v>
      </c>
      <c r="H152" s="161" t="e">
        <f>#REF!</f>
        <v>#REF!</v>
      </c>
    </row>
    <row r="153" spans="1:8" x14ac:dyDescent="0.3">
      <c r="A153" s="161" t="e">
        <f>#REF!</f>
        <v>#REF!</v>
      </c>
      <c r="B153" s="161" t="e">
        <f>#REF!</f>
        <v>#REF!</v>
      </c>
      <c r="C153" s="161" t="e">
        <f>#REF!</f>
        <v>#REF!</v>
      </c>
      <c r="D153" s="161" t="e">
        <f>#REF!</f>
        <v>#REF!</v>
      </c>
      <c r="E153" s="161" t="e">
        <f>#REF!</f>
        <v>#REF!</v>
      </c>
      <c r="F153" s="161" t="e">
        <f>#REF!</f>
        <v>#REF!</v>
      </c>
      <c r="G153" s="161" t="e">
        <f>#REF!</f>
        <v>#REF!</v>
      </c>
      <c r="H153" s="161" t="e">
        <f>#REF!</f>
        <v>#REF!</v>
      </c>
    </row>
    <row r="154" spans="1:8" x14ac:dyDescent="0.3">
      <c r="A154" s="161" t="e">
        <f>#REF!</f>
        <v>#REF!</v>
      </c>
      <c r="B154" s="161" t="e">
        <f>#REF!</f>
        <v>#REF!</v>
      </c>
      <c r="C154" s="161" t="e">
        <f>#REF!</f>
        <v>#REF!</v>
      </c>
      <c r="D154" s="161" t="e">
        <f>#REF!</f>
        <v>#REF!</v>
      </c>
      <c r="E154" s="161" t="e">
        <f>#REF!</f>
        <v>#REF!</v>
      </c>
      <c r="F154" s="161" t="e">
        <f>#REF!</f>
        <v>#REF!</v>
      </c>
      <c r="G154" s="161" t="e">
        <f>#REF!</f>
        <v>#REF!</v>
      </c>
      <c r="H154" s="161" t="e">
        <f>#REF!</f>
        <v>#REF!</v>
      </c>
    </row>
    <row r="155" spans="1:8" x14ac:dyDescent="0.3">
      <c r="A155" s="161" t="e">
        <f>#REF!</f>
        <v>#REF!</v>
      </c>
      <c r="B155" s="161" t="e">
        <f>#REF!</f>
        <v>#REF!</v>
      </c>
      <c r="C155" s="161" t="e">
        <f>#REF!</f>
        <v>#REF!</v>
      </c>
      <c r="D155" s="161" t="e">
        <f>#REF!</f>
        <v>#REF!</v>
      </c>
      <c r="E155" s="161" t="e">
        <f>#REF!</f>
        <v>#REF!</v>
      </c>
      <c r="F155" s="161" t="e">
        <f>#REF!</f>
        <v>#REF!</v>
      </c>
      <c r="G155" s="161" t="e">
        <f>#REF!</f>
        <v>#REF!</v>
      </c>
      <c r="H155" s="161" t="e">
        <f>#REF!</f>
        <v>#REF!</v>
      </c>
    </row>
    <row r="156" spans="1:8" x14ac:dyDescent="0.3">
      <c r="A156" s="161" t="e">
        <f>#REF!</f>
        <v>#REF!</v>
      </c>
      <c r="B156" s="161" t="e">
        <f>#REF!</f>
        <v>#REF!</v>
      </c>
      <c r="C156" s="161" t="e">
        <f>#REF!</f>
        <v>#REF!</v>
      </c>
      <c r="D156" s="161" t="e">
        <f>#REF!</f>
        <v>#REF!</v>
      </c>
      <c r="E156" s="161" t="e">
        <f>#REF!</f>
        <v>#REF!</v>
      </c>
      <c r="F156" s="161" t="e">
        <f>#REF!</f>
        <v>#REF!</v>
      </c>
      <c r="G156" s="161" t="e">
        <f>#REF!</f>
        <v>#REF!</v>
      </c>
      <c r="H156" s="161" t="e">
        <f>#REF!</f>
        <v>#REF!</v>
      </c>
    </row>
    <row r="157" spans="1:8" x14ac:dyDescent="0.3">
      <c r="A157" s="161" t="e">
        <f>#REF!</f>
        <v>#REF!</v>
      </c>
      <c r="B157" s="161" t="e">
        <f>#REF!</f>
        <v>#REF!</v>
      </c>
      <c r="C157" s="161" t="e">
        <f>#REF!</f>
        <v>#REF!</v>
      </c>
      <c r="D157" s="161" t="e">
        <f>#REF!</f>
        <v>#REF!</v>
      </c>
      <c r="E157" s="161" t="e">
        <f>#REF!</f>
        <v>#REF!</v>
      </c>
      <c r="F157" s="161" t="e">
        <f>#REF!</f>
        <v>#REF!</v>
      </c>
      <c r="G157" s="161" t="e">
        <f>#REF!</f>
        <v>#REF!</v>
      </c>
      <c r="H157" s="161" t="e">
        <f>#REF!</f>
        <v>#REF!</v>
      </c>
    </row>
    <row r="158" spans="1:8" x14ac:dyDescent="0.3">
      <c r="A158" s="161" t="e">
        <f>#REF!</f>
        <v>#REF!</v>
      </c>
      <c r="B158" s="161" t="e">
        <f>#REF!</f>
        <v>#REF!</v>
      </c>
      <c r="C158" s="161" t="e">
        <f>#REF!</f>
        <v>#REF!</v>
      </c>
      <c r="D158" s="161" t="e">
        <f>#REF!</f>
        <v>#REF!</v>
      </c>
      <c r="E158" s="161" t="e">
        <f>#REF!</f>
        <v>#REF!</v>
      </c>
      <c r="F158" s="161" t="e">
        <f>#REF!</f>
        <v>#REF!</v>
      </c>
      <c r="G158" s="161" t="e">
        <f>#REF!</f>
        <v>#REF!</v>
      </c>
      <c r="H158" s="161" t="e">
        <f>#REF!</f>
        <v>#REF!</v>
      </c>
    </row>
    <row r="159" spans="1:8" x14ac:dyDescent="0.3">
      <c r="A159" s="161" t="e">
        <f>#REF!</f>
        <v>#REF!</v>
      </c>
      <c r="B159" s="161" t="e">
        <f>#REF!</f>
        <v>#REF!</v>
      </c>
      <c r="C159" s="161" t="e">
        <f>#REF!</f>
        <v>#REF!</v>
      </c>
      <c r="D159" s="161" t="e">
        <f>#REF!</f>
        <v>#REF!</v>
      </c>
      <c r="E159" s="161" t="e">
        <f>#REF!</f>
        <v>#REF!</v>
      </c>
      <c r="F159" s="161" t="e">
        <f>#REF!</f>
        <v>#REF!</v>
      </c>
      <c r="G159" s="161" t="e">
        <f>#REF!</f>
        <v>#REF!</v>
      </c>
      <c r="H159" s="161" t="e">
        <f>#REF!</f>
        <v>#REF!</v>
      </c>
    </row>
    <row r="160" spans="1:8" x14ac:dyDescent="0.3">
      <c r="A160" s="161" t="e">
        <f>#REF!</f>
        <v>#REF!</v>
      </c>
      <c r="B160" s="161" t="e">
        <f>#REF!</f>
        <v>#REF!</v>
      </c>
      <c r="C160" s="161" t="e">
        <f>#REF!</f>
        <v>#REF!</v>
      </c>
      <c r="D160" s="161" t="e">
        <f>#REF!</f>
        <v>#REF!</v>
      </c>
      <c r="E160" s="161" t="e">
        <f>#REF!</f>
        <v>#REF!</v>
      </c>
      <c r="F160" s="161" t="e">
        <f>#REF!</f>
        <v>#REF!</v>
      </c>
      <c r="G160" s="161" t="e">
        <f>#REF!</f>
        <v>#REF!</v>
      </c>
      <c r="H160" s="161" t="e">
        <f>#REF!</f>
        <v>#REF!</v>
      </c>
    </row>
    <row r="161" spans="1:8" x14ac:dyDescent="0.3">
      <c r="A161" s="161" t="e">
        <f>#REF!</f>
        <v>#REF!</v>
      </c>
      <c r="B161" s="161" t="e">
        <f>#REF!</f>
        <v>#REF!</v>
      </c>
      <c r="C161" s="161" t="e">
        <f>#REF!</f>
        <v>#REF!</v>
      </c>
      <c r="D161" s="161" t="e">
        <f>#REF!</f>
        <v>#REF!</v>
      </c>
      <c r="E161" s="161" t="e">
        <f>#REF!</f>
        <v>#REF!</v>
      </c>
      <c r="F161" s="161" t="e">
        <f>#REF!</f>
        <v>#REF!</v>
      </c>
      <c r="G161" s="161" t="e">
        <f>#REF!</f>
        <v>#REF!</v>
      </c>
      <c r="H161" s="161" t="e">
        <f>#REF!</f>
        <v>#REF!</v>
      </c>
    </row>
    <row r="162" spans="1:8" x14ac:dyDescent="0.3">
      <c r="A162" s="161" t="e">
        <f>#REF!</f>
        <v>#REF!</v>
      </c>
      <c r="B162" s="161" t="e">
        <f>#REF!</f>
        <v>#REF!</v>
      </c>
      <c r="C162" s="161" t="e">
        <f>#REF!</f>
        <v>#REF!</v>
      </c>
      <c r="D162" s="161" t="e">
        <f>#REF!</f>
        <v>#REF!</v>
      </c>
      <c r="E162" s="161" t="e">
        <f>#REF!</f>
        <v>#REF!</v>
      </c>
      <c r="F162" s="161" t="e">
        <f>#REF!</f>
        <v>#REF!</v>
      </c>
      <c r="G162" s="161" t="e">
        <f>#REF!</f>
        <v>#REF!</v>
      </c>
      <c r="H162" s="161" t="e">
        <f>#REF!</f>
        <v>#REF!</v>
      </c>
    </row>
    <row r="163" spans="1:8" x14ac:dyDescent="0.3">
      <c r="A163" s="161" t="e">
        <f>#REF!</f>
        <v>#REF!</v>
      </c>
      <c r="B163" s="161" t="e">
        <f>#REF!</f>
        <v>#REF!</v>
      </c>
      <c r="C163" s="161" t="e">
        <f>#REF!</f>
        <v>#REF!</v>
      </c>
      <c r="D163" s="161" t="e">
        <f>#REF!</f>
        <v>#REF!</v>
      </c>
      <c r="E163" s="161" t="e">
        <f>#REF!</f>
        <v>#REF!</v>
      </c>
      <c r="F163" s="161" t="e">
        <f>#REF!</f>
        <v>#REF!</v>
      </c>
      <c r="G163" s="161" t="e">
        <f>#REF!</f>
        <v>#REF!</v>
      </c>
      <c r="H163" s="161" t="e">
        <f>#REF!</f>
        <v>#REF!</v>
      </c>
    </row>
    <row r="164" spans="1:8" x14ac:dyDescent="0.3">
      <c r="A164" s="161" t="e">
        <f>#REF!</f>
        <v>#REF!</v>
      </c>
      <c r="B164" s="161" t="e">
        <f>#REF!</f>
        <v>#REF!</v>
      </c>
      <c r="C164" s="161" t="e">
        <f>#REF!</f>
        <v>#REF!</v>
      </c>
      <c r="D164" s="161" t="e">
        <f>#REF!</f>
        <v>#REF!</v>
      </c>
      <c r="E164" s="161" t="e">
        <f>#REF!</f>
        <v>#REF!</v>
      </c>
      <c r="F164" s="161" t="e">
        <f>#REF!</f>
        <v>#REF!</v>
      </c>
      <c r="G164" s="161" t="e">
        <f>#REF!</f>
        <v>#REF!</v>
      </c>
      <c r="H164" s="161" t="e">
        <f>#REF!</f>
        <v>#REF!</v>
      </c>
    </row>
    <row r="165" spans="1:8" x14ac:dyDescent="0.3">
      <c r="A165" s="161" t="e">
        <f>#REF!</f>
        <v>#REF!</v>
      </c>
      <c r="B165" s="161" t="e">
        <f>#REF!</f>
        <v>#REF!</v>
      </c>
      <c r="C165" s="161" t="e">
        <f>#REF!</f>
        <v>#REF!</v>
      </c>
      <c r="D165" s="161" t="e">
        <f>#REF!</f>
        <v>#REF!</v>
      </c>
      <c r="E165" s="161" t="e">
        <f>#REF!</f>
        <v>#REF!</v>
      </c>
      <c r="F165" s="161" t="e">
        <f>#REF!</f>
        <v>#REF!</v>
      </c>
      <c r="G165" s="161" t="e">
        <f>#REF!</f>
        <v>#REF!</v>
      </c>
      <c r="H165" s="161" t="e">
        <f>#REF!</f>
        <v>#REF!</v>
      </c>
    </row>
    <row r="166" spans="1:8" x14ac:dyDescent="0.3">
      <c r="A166" s="161" t="e">
        <f>#REF!</f>
        <v>#REF!</v>
      </c>
      <c r="B166" s="161" t="e">
        <f>#REF!</f>
        <v>#REF!</v>
      </c>
      <c r="C166" s="161" t="e">
        <f>#REF!</f>
        <v>#REF!</v>
      </c>
      <c r="D166" s="161" t="e">
        <f>#REF!</f>
        <v>#REF!</v>
      </c>
      <c r="E166" s="161" t="e">
        <f>#REF!</f>
        <v>#REF!</v>
      </c>
      <c r="F166" s="161" t="e">
        <f>#REF!</f>
        <v>#REF!</v>
      </c>
      <c r="G166" s="161" t="e">
        <f>#REF!</f>
        <v>#REF!</v>
      </c>
      <c r="H166" s="161" t="e">
        <f>#REF!</f>
        <v>#REF!</v>
      </c>
    </row>
    <row r="167" spans="1:8" x14ac:dyDescent="0.3">
      <c r="A167" s="161" t="e">
        <f>#REF!</f>
        <v>#REF!</v>
      </c>
      <c r="B167" s="161" t="e">
        <f>#REF!</f>
        <v>#REF!</v>
      </c>
      <c r="C167" s="161" t="e">
        <f>#REF!</f>
        <v>#REF!</v>
      </c>
      <c r="D167" s="161" t="e">
        <f>#REF!</f>
        <v>#REF!</v>
      </c>
      <c r="E167" s="161" t="e">
        <f>#REF!</f>
        <v>#REF!</v>
      </c>
      <c r="F167" s="161" t="e">
        <f>#REF!</f>
        <v>#REF!</v>
      </c>
      <c r="G167" s="161" t="e">
        <f>#REF!</f>
        <v>#REF!</v>
      </c>
      <c r="H167" s="161" t="e">
        <f>#REF!</f>
        <v>#REF!</v>
      </c>
    </row>
    <row r="168" spans="1:8" x14ac:dyDescent="0.3">
      <c r="A168" s="161" t="e">
        <f>#REF!</f>
        <v>#REF!</v>
      </c>
      <c r="B168" s="161" t="e">
        <f>#REF!</f>
        <v>#REF!</v>
      </c>
      <c r="C168" s="161" t="e">
        <f>#REF!</f>
        <v>#REF!</v>
      </c>
      <c r="D168" s="161" t="e">
        <f>#REF!</f>
        <v>#REF!</v>
      </c>
      <c r="E168" s="161" t="e">
        <f>#REF!</f>
        <v>#REF!</v>
      </c>
      <c r="F168" s="161" t="e">
        <f>#REF!</f>
        <v>#REF!</v>
      </c>
      <c r="G168" s="161" t="e">
        <f>#REF!</f>
        <v>#REF!</v>
      </c>
      <c r="H168" s="161" t="e">
        <f>#REF!</f>
        <v>#REF!</v>
      </c>
    </row>
    <row r="169" spans="1:8" x14ac:dyDescent="0.3">
      <c r="A169" s="161" t="e">
        <f>#REF!</f>
        <v>#REF!</v>
      </c>
      <c r="B169" s="161" t="e">
        <f>#REF!</f>
        <v>#REF!</v>
      </c>
      <c r="C169" s="161" t="e">
        <f>#REF!</f>
        <v>#REF!</v>
      </c>
      <c r="D169" s="161" t="e">
        <f>#REF!</f>
        <v>#REF!</v>
      </c>
      <c r="E169" s="161" t="e">
        <f>#REF!</f>
        <v>#REF!</v>
      </c>
      <c r="F169" s="161" t="e">
        <f>#REF!</f>
        <v>#REF!</v>
      </c>
      <c r="G169" s="161" t="e">
        <f>#REF!</f>
        <v>#REF!</v>
      </c>
      <c r="H169" s="161" t="e">
        <f>#REF!</f>
        <v>#REF!</v>
      </c>
    </row>
    <row r="170" spans="1:8" x14ac:dyDescent="0.3">
      <c r="A170" s="161" t="e">
        <f>#REF!</f>
        <v>#REF!</v>
      </c>
      <c r="B170" s="161" t="e">
        <f>#REF!</f>
        <v>#REF!</v>
      </c>
      <c r="C170" s="161" t="e">
        <f>#REF!</f>
        <v>#REF!</v>
      </c>
      <c r="D170" s="161" t="e">
        <f>#REF!</f>
        <v>#REF!</v>
      </c>
      <c r="E170" s="161" t="e">
        <f>#REF!</f>
        <v>#REF!</v>
      </c>
      <c r="F170" s="161" t="e">
        <f>#REF!</f>
        <v>#REF!</v>
      </c>
      <c r="G170" s="161" t="e">
        <f>#REF!</f>
        <v>#REF!</v>
      </c>
      <c r="H170" s="161" t="e">
        <f>#REF!</f>
        <v>#REF!</v>
      </c>
    </row>
    <row r="171" spans="1:8" x14ac:dyDescent="0.3">
      <c r="A171" s="161" t="e">
        <f>#REF!</f>
        <v>#REF!</v>
      </c>
      <c r="B171" s="161" t="e">
        <f>#REF!</f>
        <v>#REF!</v>
      </c>
      <c r="C171" s="161" t="e">
        <f>#REF!</f>
        <v>#REF!</v>
      </c>
      <c r="D171" s="161" t="e">
        <f>#REF!</f>
        <v>#REF!</v>
      </c>
      <c r="E171" s="161" t="e">
        <f>#REF!</f>
        <v>#REF!</v>
      </c>
      <c r="F171" s="161" t="e">
        <f>#REF!</f>
        <v>#REF!</v>
      </c>
      <c r="G171" s="161" t="e">
        <f>#REF!</f>
        <v>#REF!</v>
      </c>
      <c r="H171" s="161" t="e">
        <f>#REF!</f>
        <v>#REF!</v>
      </c>
    </row>
    <row r="172" spans="1:8" x14ac:dyDescent="0.3">
      <c r="A172" s="161" t="e">
        <f>#REF!</f>
        <v>#REF!</v>
      </c>
      <c r="B172" s="161" t="e">
        <f>#REF!</f>
        <v>#REF!</v>
      </c>
      <c r="C172" s="161" t="e">
        <f>#REF!</f>
        <v>#REF!</v>
      </c>
      <c r="D172" s="161" t="e">
        <f>#REF!</f>
        <v>#REF!</v>
      </c>
      <c r="E172" s="161" t="e">
        <f>#REF!</f>
        <v>#REF!</v>
      </c>
      <c r="F172" s="161" t="e">
        <f>#REF!</f>
        <v>#REF!</v>
      </c>
      <c r="G172" s="161" t="e">
        <f>#REF!</f>
        <v>#REF!</v>
      </c>
      <c r="H172" s="161" t="e">
        <f>#REF!</f>
        <v>#REF!</v>
      </c>
    </row>
    <row r="173" spans="1:8" x14ac:dyDescent="0.3">
      <c r="A173" s="161" t="e">
        <f>#REF!</f>
        <v>#REF!</v>
      </c>
      <c r="B173" s="161" t="e">
        <f>#REF!</f>
        <v>#REF!</v>
      </c>
      <c r="C173" s="161" t="e">
        <f>#REF!</f>
        <v>#REF!</v>
      </c>
      <c r="D173" s="161" t="e">
        <f>#REF!</f>
        <v>#REF!</v>
      </c>
      <c r="E173" s="161" t="e">
        <f>#REF!</f>
        <v>#REF!</v>
      </c>
      <c r="F173" s="161" t="e">
        <f>#REF!</f>
        <v>#REF!</v>
      </c>
      <c r="G173" s="161" t="e">
        <f>#REF!</f>
        <v>#REF!</v>
      </c>
      <c r="H173" s="161" t="e">
        <f>#REF!</f>
        <v>#REF!</v>
      </c>
    </row>
    <row r="174" spans="1:8" x14ac:dyDescent="0.3">
      <c r="A174" s="161" t="e">
        <f>#REF!</f>
        <v>#REF!</v>
      </c>
      <c r="B174" s="161" t="e">
        <f>#REF!</f>
        <v>#REF!</v>
      </c>
      <c r="C174" s="161" t="e">
        <f>#REF!</f>
        <v>#REF!</v>
      </c>
      <c r="D174" s="161" t="e">
        <f>#REF!</f>
        <v>#REF!</v>
      </c>
      <c r="E174" s="161" t="e">
        <f>#REF!</f>
        <v>#REF!</v>
      </c>
      <c r="F174" s="161" t="e">
        <f>#REF!</f>
        <v>#REF!</v>
      </c>
      <c r="G174" s="161" t="e">
        <f>#REF!</f>
        <v>#REF!</v>
      </c>
      <c r="H174" s="161" t="e">
        <f>#REF!</f>
        <v>#REF!</v>
      </c>
    </row>
    <row r="175" spans="1:8" x14ac:dyDescent="0.3">
      <c r="A175" s="161" t="e">
        <f>#REF!</f>
        <v>#REF!</v>
      </c>
      <c r="B175" s="161" t="e">
        <f>#REF!</f>
        <v>#REF!</v>
      </c>
      <c r="C175" s="161" t="e">
        <f>#REF!</f>
        <v>#REF!</v>
      </c>
      <c r="D175" s="161" t="e">
        <f>#REF!</f>
        <v>#REF!</v>
      </c>
      <c r="E175" s="161" t="e">
        <f>#REF!</f>
        <v>#REF!</v>
      </c>
      <c r="F175" s="161" t="e">
        <f>#REF!</f>
        <v>#REF!</v>
      </c>
      <c r="G175" s="161" t="e">
        <f>#REF!</f>
        <v>#REF!</v>
      </c>
      <c r="H175" s="161" t="e">
        <f>#REF!</f>
        <v>#REF!</v>
      </c>
    </row>
    <row r="176" spans="1:8" x14ac:dyDescent="0.3">
      <c r="A176" s="161" t="e">
        <f>#REF!</f>
        <v>#REF!</v>
      </c>
      <c r="B176" s="161" t="e">
        <f>#REF!</f>
        <v>#REF!</v>
      </c>
      <c r="C176" s="161" t="e">
        <f>#REF!</f>
        <v>#REF!</v>
      </c>
      <c r="D176" s="161" t="e">
        <f>#REF!</f>
        <v>#REF!</v>
      </c>
      <c r="E176" s="161" t="e">
        <f>#REF!</f>
        <v>#REF!</v>
      </c>
      <c r="F176" s="161" t="e">
        <f>#REF!</f>
        <v>#REF!</v>
      </c>
      <c r="G176" s="161" t="e">
        <f>#REF!</f>
        <v>#REF!</v>
      </c>
      <c r="H176" s="161" t="e">
        <f>#REF!</f>
        <v>#REF!</v>
      </c>
    </row>
    <row r="177" spans="1:8" x14ac:dyDescent="0.3">
      <c r="A177" s="161" t="e">
        <f>#REF!</f>
        <v>#REF!</v>
      </c>
      <c r="B177" s="161" t="e">
        <f>#REF!</f>
        <v>#REF!</v>
      </c>
      <c r="C177" s="161" t="e">
        <f>#REF!</f>
        <v>#REF!</v>
      </c>
      <c r="D177" s="161" t="e">
        <f>#REF!</f>
        <v>#REF!</v>
      </c>
      <c r="E177" s="161" t="e">
        <f>#REF!</f>
        <v>#REF!</v>
      </c>
      <c r="F177" s="161" t="e">
        <f>#REF!</f>
        <v>#REF!</v>
      </c>
      <c r="G177" s="161" t="e">
        <f>#REF!</f>
        <v>#REF!</v>
      </c>
      <c r="H177" s="161" t="e">
        <f>#REF!</f>
        <v>#REF!</v>
      </c>
    </row>
    <row r="178" spans="1:8" x14ac:dyDescent="0.3">
      <c r="A178" s="161" t="e">
        <f>#REF!</f>
        <v>#REF!</v>
      </c>
      <c r="B178" s="161" t="e">
        <f>#REF!</f>
        <v>#REF!</v>
      </c>
      <c r="C178" s="161" t="e">
        <f>#REF!</f>
        <v>#REF!</v>
      </c>
      <c r="D178" s="161" t="e">
        <f>#REF!</f>
        <v>#REF!</v>
      </c>
      <c r="E178" s="161" t="e">
        <f>#REF!</f>
        <v>#REF!</v>
      </c>
      <c r="F178" s="161" t="e">
        <f>#REF!</f>
        <v>#REF!</v>
      </c>
      <c r="G178" s="161" t="e">
        <f>#REF!</f>
        <v>#REF!</v>
      </c>
      <c r="H178" s="161" t="e">
        <f>#REF!</f>
        <v>#REF!</v>
      </c>
    </row>
    <row r="179" spans="1:8" x14ac:dyDescent="0.3">
      <c r="A179" s="161" t="e">
        <f>#REF!</f>
        <v>#REF!</v>
      </c>
      <c r="B179" s="161" t="e">
        <f>#REF!</f>
        <v>#REF!</v>
      </c>
      <c r="C179" s="161" t="e">
        <f>#REF!</f>
        <v>#REF!</v>
      </c>
      <c r="D179" s="161" t="e">
        <f>#REF!</f>
        <v>#REF!</v>
      </c>
      <c r="E179" s="161" t="e">
        <f>#REF!</f>
        <v>#REF!</v>
      </c>
      <c r="F179" s="161" t="e">
        <f>#REF!</f>
        <v>#REF!</v>
      </c>
      <c r="G179" s="161" t="e">
        <f>#REF!</f>
        <v>#REF!</v>
      </c>
      <c r="H179" s="161" t="e">
        <f>#REF!</f>
        <v>#REF!</v>
      </c>
    </row>
    <row r="180" spans="1:8" x14ac:dyDescent="0.3">
      <c r="A180" s="161" t="e">
        <f>#REF!</f>
        <v>#REF!</v>
      </c>
      <c r="B180" s="161" t="e">
        <f>#REF!</f>
        <v>#REF!</v>
      </c>
      <c r="C180" s="161" t="e">
        <f>#REF!</f>
        <v>#REF!</v>
      </c>
      <c r="D180" s="161" t="e">
        <f>#REF!</f>
        <v>#REF!</v>
      </c>
      <c r="E180" s="161" t="e">
        <f>#REF!</f>
        <v>#REF!</v>
      </c>
      <c r="F180" s="161" t="e">
        <f>#REF!</f>
        <v>#REF!</v>
      </c>
      <c r="G180" s="161" t="e">
        <f>#REF!</f>
        <v>#REF!</v>
      </c>
      <c r="H180" s="161" t="e">
        <f>#REF!</f>
        <v>#REF!</v>
      </c>
    </row>
    <row r="181" spans="1:8" x14ac:dyDescent="0.3">
      <c r="A181" s="161" t="e">
        <f>#REF!</f>
        <v>#REF!</v>
      </c>
      <c r="B181" s="161" t="e">
        <f>#REF!</f>
        <v>#REF!</v>
      </c>
      <c r="C181" s="161" t="e">
        <f>#REF!</f>
        <v>#REF!</v>
      </c>
      <c r="D181" s="161" t="e">
        <f>#REF!</f>
        <v>#REF!</v>
      </c>
      <c r="E181" s="161" t="e">
        <f>#REF!</f>
        <v>#REF!</v>
      </c>
      <c r="F181" s="161" t="e">
        <f>#REF!</f>
        <v>#REF!</v>
      </c>
      <c r="G181" s="161" t="e">
        <f>#REF!</f>
        <v>#REF!</v>
      </c>
      <c r="H181" s="161" t="e">
        <f>#REF!</f>
        <v>#REF!</v>
      </c>
    </row>
    <row r="182" spans="1:8" x14ac:dyDescent="0.3">
      <c r="A182" s="161" t="e">
        <f>#REF!</f>
        <v>#REF!</v>
      </c>
      <c r="B182" s="161" t="e">
        <f>#REF!</f>
        <v>#REF!</v>
      </c>
      <c r="C182" s="161" t="e">
        <f>#REF!</f>
        <v>#REF!</v>
      </c>
      <c r="D182" s="161" t="e">
        <f>#REF!</f>
        <v>#REF!</v>
      </c>
      <c r="E182" s="161" t="e">
        <f>#REF!</f>
        <v>#REF!</v>
      </c>
      <c r="F182" s="161" t="e">
        <f>#REF!</f>
        <v>#REF!</v>
      </c>
      <c r="G182" s="161" t="e">
        <f>#REF!</f>
        <v>#REF!</v>
      </c>
      <c r="H182" s="161" t="e">
        <f>#REF!</f>
        <v>#REF!</v>
      </c>
    </row>
    <row r="183" spans="1:8" x14ac:dyDescent="0.3">
      <c r="A183" s="161" t="e">
        <f>#REF!</f>
        <v>#REF!</v>
      </c>
      <c r="B183" s="161" t="e">
        <f>#REF!</f>
        <v>#REF!</v>
      </c>
      <c r="C183" s="161" t="e">
        <f>#REF!</f>
        <v>#REF!</v>
      </c>
      <c r="D183" s="161" t="e">
        <f>#REF!</f>
        <v>#REF!</v>
      </c>
      <c r="E183" s="161" t="e">
        <f>#REF!</f>
        <v>#REF!</v>
      </c>
      <c r="F183" s="161" t="e">
        <f>#REF!</f>
        <v>#REF!</v>
      </c>
      <c r="G183" s="161" t="e">
        <f>#REF!</f>
        <v>#REF!</v>
      </c>
      <c r="H183" s="161" t="e">
        <f>#REF!</f>
        <v>#REF!</v>
      </c>
    </row>
    <row r="184" spans="1:8" x14ac:dyDescent="0.3">
      <c r="A184" s="161" t="e">
        <f>#REF!</f>
        <v>#REF!</v>
      </c>
      <c r="B184" s="161" t="e">
        <f>#REF!</f>
        <v>#REF!</v>
      </c>
      <c r="C184" s="161" t="e">
        <f>#REF!</f>
        <v>#REF!</v>
      </c>
      <c r="D184" s="161" t="e">
        <f>#REF!</f>
        <v>#REF!</v>
      </c>
      <c r="E184" s="161" t="e">
        <f>#REF!</f>
        <v>#REF!</v>
      </c>
      <c r="F184" s="161" t="e">
        <f>#REF!</f>
        <v>#REF!</v>
      </c>
      <c r="G184" s="161" t="e">
        <f>#REF!</f>
        <v>#REF!</v>
      </c>
      <c r="H184" s="161" t="e">
        <f>#REF!</f>
        <v>#REF!</v>
      </c>
    </row>
    <row r="185" spans="1:8" x14ac:dyDescent="0.3">
      <c r="A185" s="161" t="e">
        <f>#REF!</f>
        <v>#REF!</v>
      </c>
      <c r="B185" s="161" t="e">
        <f>#REF!</f>
        <v>#REF!</v>
      </c>
      <c r="C185" s="161" t="e">
        <f>#REF!</f>
        <v>#REF!</v>
      </c>
      <c r="D185" s="161" t="e">
        <f>#REF!</f>
        <v>#REF!</v>
      </c>
      <c r="E185" s="161" t="e">
        <f>#REF!</f>
        <v>#REF!</v>
      </c>
      <c r="F185" s="161" t="e">
        <f>#REF!</f>
        <v>#REF!</v>
      </c>
      <c r="G185" s="161" t="e">
        <f>#REF!</f>
        <v>#REF!</v>
      </c>
      <c r="H185" s="161" t="e">
        <f>#REF!</f>
        <v>#REF!</v>
      </c>
    </row>
    <row r="186" spans="1:8" x14ac:dyDescent="0.3">
      <c r="A186" s="161" t="e">
        <f>#REF!</f>
        <v>#REF!</v>
      </c>
      <c r="B186" s="161" t="e">
        <f>#REF!</f>
        <v>#REF!</v>
      </c>
      <c r="C186" s="161" t="e">
        <f>#REF!</f>
        <v>#REF!</v>
      </c>
      <c r="D186" s="161" t="e">
        <f>#REF!</f>
        <v>#REF!</v>
      </c>
      <c r="E186" s="161" t="e">
        <f>#REF!</f>
        <v>#REF!</v>
      </c>
      <c r="F186" s="161" t="e">
        <f>#REF!</f>
        <v>#REF!</v>
      </c>
      <c r="G186" s="161" t="e">
        <f>#REF!</f>
        <v>#REF!</v>
      </c>
      <c r="H186" s="161" t="e">
        <f>#REF!</f>
        <v>#REF!</v>
      </c>
    </row>
    <row r="187" spans="1:8" x14ac:dyDescent="0.3">
      <c r="A187" s="161" t="e">
        <f>#REF!</f>
        <v>#REF!</v>
      </c>
      <c r="B187" s="161" t="e">
        <f>#REF!</f>
        <v>#REF!</v>
      </c>
      <c r="C187" s="161" t="e">
        <f>#REF!</f>
        <v>#REF!</v>
      </c>
      <c r="D187" s="161" t="e">
        <f>#REF!</f>
        <v>#REF!</v>
      </c>
      <c r="E187" s="161" t="e">
        <f>#REF!</f>
        <v>#REF!</v>
      </c>
      <c r="F187" s="161" t="e">
        <f>#REF!</f>
        <v>#REF!</v>
      </c>
      <c r="G187" s="161" t="e">
        <f>#REF!</f>
        <v>#REF!</v>
      </c>
      <c r="H187" s="161" t="e">
        <f>#REF!</f>
        <v>#REF!</v>
      </c>
    </row>
    <row r="188" spans="1:8" x14ac:dyDescent="0.3">
      <c r="A188" s="161" t="e">
        <f>#REF!</f>
        <v>#REF!</v>
      </c>
      <c r="B188" s="161" t="e">
        <f>#REF!</f>
        <v>#REF!</v>
      </c>
      <c r="C188" s="161" t="e">
        <f>#REF!</f>
        <v>#REF!</v>
      </c>
      <c r="D188" s="161" t="e">
        <f>#REF!</f>
        <v>#REF!</v>
      </c>
      <c r="E188" s="161" t="e">
        <f>#REF!</f>
        <v>#REF!</v>
      </c>
      <c r="F188" s="161" t="e">
        <f>#REF!</f>
        <v>#REF!</v>
      </c>
      <c r="G188" s="161" t="e">
        <f>#REF!</f>
        <v>#REF!</v>
      </c>
      <c r="H188" s="161" t="e">
        <f>#REF!</f>
        <v>#REF!</v>
      </c>
    </row>
    <row r="189" spans="1:8" x14ac:dyDescent="0.3">
      <c r="A189" s="161" t="e">
        <f>#REF!</f>
        <v>#REF!</v>
      </c>
      <c r="B189" s="161" t="e">
        <f>#REF!</f>
        <v>#REF!</v>
      </c>
      <c r="C189" s="161" t="e">
        <f>#REF!</f>
        <v>#REF!</v>
      </c>
      <c r="D189" s="161" t="e">
        <f>#REF!</f>
        <v>#REF!</v>
      </c>
      <c r="E189" s="161" t="e">
        <f>#REF!</f>
        <v>#REF!</v>
      </c>
      <c r="F189" s="161" t="e">
        <f>#REF!</f>
        <v>#REF!</v>
      </c>
      <c r="G189" s="161" t="e">
        <f>#REF!</f>
        <v>#REF!</v>
      </c>
      <c r="H189" s="161" t="e">
        <f>#REF!</f>
        <v>#REF!</v>
      </c>
    </row>
    <row r="190" spans="1:8" x14ac:dyDescent="0.3">
      <c r="A190" s="161" t="e">
        <f>#REF!</f>
        <v>#REF!</v>
      </c>
      <c r="B190" s="161" t="e">
        <f>#REF!</f>
        <v>#REF!</v>
      </c>
      <c r="C190" s="161" t="e">
        <f>#REF!</f>
        <v>#REF!</v>
      </c>
      <c r="D190" s="161" t="e">
        <f>#REF!</f>
        <v>#REF!</v>
      </c>
      <c r="E190" s="161" t="e">
        <f>#REF!</f>
        <v>#REF!</v>
      </c>
      <c r="F190" s="161" t="e">
        <f>#REF!</f>
        <v>#REF!</v>
      </c>
      <c r="G190" s="161" t="e">
        <f>#REF!</f>
        <v>#REF!</v>
      </c>
      <c r="H190" s="161" t="e">
        <f>#REF!</f>
        <v>#REF!</v>
      </c>
    </row>
    <row r="191" spans="1:8" x14ac:dyDescent="0.3">
      <c r="A191" s="161" t="e">
        <f>#REF!</f>
        <v>#REF!</v>
      </c>
      <c r="B191" s="161" t="e">
        <f>#REF!</f>
        <v>#REF!</v>
      </c>
      <c r="C191" s="161" t="e">
        <f>#REF!</f>
        <v>#REF!</v>
      </c>
      <c r="D191" s="161" t="e">
        <f>#REF!</f>
        <v>#REF!</v>
      </c>
      <c r="E191" s="161" t="e">
        <f>#REF!</f>
        <v>#REF!</v>
      </c>
      <c r="F191" s="161" t="e">
        <f>#REF!</f>
        <v>#REF!</v>
      </c>
      <c r="G191" s="161" t="e">
        <f>#REF!</f>
        <v>#REF!</v>
      </c>
      <c r="H191" s="161" t="e">
        <f>#REF!</f>
        <v>#REF!</v>
      </c>
    </row>
    <row r="192" spans="1:8" x14ac:dyDescent="0.3">
      <c r="A192" s="161" t="e">
        <f>#REF!</f>
        <v>#REF!</v>
      </c>
      <c r="B192" s="161" t="e">
        <f>#REF!</f>
        <v>#REF!</v>
      </c>
      <c r="C192" s="161" t="e">
        <f>#REF!</f>
        <v>#REF!</v>
      </c>
      <c r="D192" s="161" t="e">
        <f>#REF!</f>
        <v>#REF!</v>
      </c>
      <c r="E192" s="161" t="e">
        <f>#REF!</f>
        <v>#REF!</v>
      </c>
      <c r="F192" s="161" t="e">
        <f>#REF!</f>
        <v>#REF!</v>
      </c>
      <c r="G192" s="161" t="e">
        <f>#REF!</f>
        <v>#REF!</v>
      </c>
      <c r="H192" s="161" t="e">
        <f>#REF!</f>
        <v>#REF!</v>
      </c>
    </row>
    <row r="193" spans="1:8" x14ac:dyDescent="0.3">
      <c r="A193" s="161" t="e">
        <f>#REF!</f>
        <v>#REF!</v>
      </c>
      <c r="B193" s="161" t="e">
        <f>#REF!</f>
        <v>#REF!</v>
      </c>
      <c r="C193" s="161" t="e">
        <f>#REF!</f>
        <v>#REF!</v>
      </c>
      <c r="D193" s="161" t="e">
        <f>#REF!</f>
        <v>#REF!</v>
      </c>
      <c r="E193" s="161" t="e">
        <f>#REF!</f>
        <v>#REF!</v>
      </c>
      <c r="F193" s="161" t="e">
        <f>#REF!</f>
        <v>#REF!</v>
      </c>
      <c r="G193" s="161" t="e">
        <f>#REF!</f>
        <v>#REF!</v>
      </c>
      <c r="H193" s="161" t="e">
        <f>#REF!</f>
        <v>#REF!</v>
      </c>
    </row>
    <row r="194" spans="1:8" x14ac:dyDescent="0.3">
      <c r="A194" s="161" t="e">
        <f>#REF!</f>
        <v>#REF!</v>
      </c>
      <c r="B194" s="161" t="e">
        <f>#REF!</f>
        <v>#REF!</v>
      </c>
      <c r="C194" s="161" t="e">
        <f>#REF!</f>
        <v>#REF!</v>
      </c>
      <c r="D194" s="161" t="e">
        <f>#REF!</f>
        <v>#REF!</v>
      </c>
      <c r="E194" s="161" t="e">
        <f>#REF!</f>
        <v>#REF!</v>
      </c>
      <c r="F194" s="161" t="e">
        <f>#REF!</f>
        <v>#REF!</v>
      </c>
      <c r="G194" s="161" t="e">
        <f>#REF!</f>
        <v>#REF!</v>
      </c>
      <c r="H194" s="161" t="e">
        <f>#REF!</f>
        <v>#REF!</v>
      </c>
    </row>
    <row r="195" spans="1:8" x14ac:dyDescent="0.3">
      <c r="A195" s="161" t="e">
        <f>#REF!</f>
        <v>#REF!</v>
      </c>
      <c r="B195" s="161" t="e">
        <f>#REF!</f>
        <v>#REF!</v>
      </c>
      <c r="C195" s="161" t="e">
        <f>#REF!</f>
        <v>#REF!</v>
      </c>
      <c r="D195" s="161" t="e">
        <f>#REF!</f>
        <v>#REF!</v>
      </c>
      <c r="E195" s="161" t="e">
        <f>#REF!</f>
        <v>#REF!</v>
      </c>
      <c r="F195" s="161" t="e">
        <f>#REF!</f>
        <v>#REF!</v>
      </c>
      <c r="G195" s="161" t="e">
        <f>#REF!</f>
        <v>#REF!</v>
      </c>
      <c r="H195" s="161" t="e">
        <f>#REF!</f>
        <v>#REF!</v>
      </c>
    </row>
    <row r="196" spans="1:8" x14ac:dyDescent="0.3">
      <c r="A196" s="161" t="e">
        <f>#REF!</f>
        <v>#REF!</v>
      </c>
      <c r="B196" s="161" t="e">
        <f>#REF!</f>
        <v>#REF!</v>
      </c>
      <c r="C196" s="161" t="e">
        <f>#REF!</f>
        <v>#REF!</v>
      </c>
      <c r="D196" s="161" t="e">
        <f>#REF!</f>
        <v>#REF!</v>
      </c>
      <c r="E196" s="161" t="e">
        <f>#REF!</f>
        <v>#REF!</v>
      </c>
      <c r="F196" s="161" t="e">
        <f>#REF!</f>
        <v>#REF!</v>
      </c>
      <c r="G196" s="161" t="e">
        <f>#REF!</f>
        <v>#REF!</v>
      </c>
      <c r="H196" s="161" t="e">
        <f>#REF!</f>
        <v>#REF!</v>
      </c>
    </row>
    <row r="197" spans="1:8" x14ac:dyDescent="0.3">
      <c r="A197" s="161" t="e">
        <f>#REF!</f>
        <v>#REF!</v>
      </c>
      <c r="B197" s="161" t="e">
        <f>#REF!</f>
        <v>#REF!</v>
      </c>
      <c r="C197" s="161" t="e">
        <f>#REF!</f>
        <v>#REF!</v>
      </c>
      <c r="D197" s="161" t="e">
        <f>#REF!</f>
        <v>#REF!</v>
      </c>
      <c r="E197" s="161" t="e">
        <f>#REF!</f>
        <v>#REF!</v>
      </c>
      <c r="F197" s="161" t="e">
        <f>#REF!</f>
        <v>#REF!</v>
      </c>
      <c r="G197" s="161" t="e">
        <f>#REF!</f>
        <v>#REF!</v>
      </c>
      <c r="H197" s="161" t="e">
        <f>#REF!</f>
        <v>#REF!</v>
      </c>
    </row>
    <row r="198" spans="1:8" x14ac:dyDescent="0.3">
      <c r="A198" s="161" t="e">
        <f>#REF!</f>
        <v>#REF!</v>
      </c>
      <c r="B198" s="161" t="e">
        <f>#REF!</f>
        <v>#REF!</v>
      </c>
      <c r="C198" s="161" t="e">
        <f>#REF!</f>
        <v>#REF!</v>
      </c>
      <c r="D198" s="161" t="e">
        <f>#REF!</f>
        <v>#REF!</v>
      </c>
      <c r="E198" s="161" t="e">
        <f>#REF!</f>
        <v>#REF!</v>
      </c>
      <c r="F198" s="161" t="e">
        <f>#REF!</f>
        <v>#REF!</v>
      </c>
      <c r="G198" s="161" t="e">
        <f>#REF!</f>
        <v>#REF!</v>
      </c>
      <c r="H198" s="161" t="e">
        <f>#REF!</f>
        <v>#REF!</v>
      </c>
    </row>
    <row r="199" spans="1:8" x14ac:dyDescent="0.3">
      <c r="A199" s="161" t="e">
        <f>#REF!</f>
        <v>#REF!</v>
      </c>
      <c r="B199" s="161" t="e">
        <f>#REF!</f>
        <v>#REF!</v>
      </c>
      <c r="C199" s="161" t="e">
        <f>#REF!</f>
        <v>#REF!</v>
      </c>
      <c r="D199" s="161" t="e">
        <f>#REF!</f>
        <v>#REF!</v>
      </c>
      <c r="E199" s="161" t="e">
        <f>#REF!</f>
        <v>#REF!</v>
      </c>
      <c r="F199" s="161" t="e">
        <f>#REF!</f>
        <v>#REF!</v>
      </c>
      <c r="G199" s="161" t="e">
        <f>#REF!</f>
        <v>#REF!</v>
      </c>
      <c r="H199" s="161" t="e">
        <f>#REF!</f>
        <v>#REF!</v>
      </c>
    </row>
    <row r="200" spans="1:8" x14ac:dyDescent="0.3">
      <c r="A200" s="161" t="e">
        <f>#REF!</f>
        <v>#REF!</v>
      </c>
      <c r="B200" s="161" t="e">
        <f>#REF!</f>
        <v>#REF!</v>
      </c>
      <c r="C200" s="161" t="e">
        <f>#REF!</f>
        <v>#REF!</v>
      </c>
      <c r="D200" s="161" t="e">
        <f>#REF!</f>
        <v>#REF!</v>
      </c>
      <c r="E200" s="161" t="e">
        <f>#REF!</f>
        <v>#REF!</v>
      </c>
      <c r="F200" s="161" t="e">
        <f>#REF!</f>
        <v>#REF!</v>
      </c>
      <c r="G200" s="161" t="e">
        <f>#REF!</f>
        <v>#REF!</v>
      </c>
      <c r="H200" s="161" t="e">
        <f>#REF!</f>
        <v>#REF!</v>
      </c>
    </row>
    <row r="201" spans="1:8" x14ac:dyDescent="0.3">
      <c r="A201" s="161" t="e">
        <f>#REF!</f>
        <v>#REF!</v>
      </c>
      <c r="B201" s="161" t="e">
        <f>#REF!</f>
        <v>#REF!</v>
      </c>
      <c r="C201" s="161" t="e">
        <f>#REF!</f>
        <v>#REF!</v>
      </c>
      <c r="D201" s="161" t="e">
        <f>#REF!</f>
        <v>#REF!</v>
      </c>
      <c r="E201" s="161" t="e">
        <f>#REF!</f>
        <v>#REF!</v>
      </c>
      <c r="F201" s="161" t="e">
        <f>#REF!</f>
        <v>#REF!</v>
      </c>
      <c r="G201" s="161" t="e">
        <f>#REF!</f>
        <v>#REF!</v>
      </c>
      <c r="H201" s="161" t="e">
        <f>#REF!</f>
        <v>#REF!</v>
      </c>
    </row>
    <row r="202" spans="1:8" x14ac:dyDescent="0.3">
      <c r="A202" s="161" t="e">
        <f>#REF!</f>
        <v>#REF!</v>
      </c>
      <c r="B202" s="161" t="e">
        <f>#REF!</f>
        <v>#REF!</v>
      </c>
      <c r="C202" s="161" t="e">
        <f>#REF!</f>
        <v>#REF!</v>
      </c>
      <c r="D202" s="161" t="e">
        <f>#REF!</f>
        <v>#REF!</v>
      </c>
      <c r="E202" s="161" t="e">
        <f>#REF!</f>
        <v>#REF!</v>
      </c>
      <c r="F202" s="161" t="e">
        <f>#REF!</f>
        <v>#REF!</v>
      </c>
      <c r="G202" s="161" t="e">
        <f>#REF!</f>
        <v>#REF!</v>
      </c>
      <c r="H202" s="161" t="e">
        <f>#REF!</f>
        <v>#REF!</v>
      </c>
    </row>
    <row r="203" spans="1:8" x14ac:dyDescent="0.3">
      <c r="A203" s="161" t="e">
        <f>#REF!</f>
        <v>#REF!</v>
      </c>
      <c r="B203" s="161" t="e">
        <f>#REF!</f>
        <v>#REF!</v>
      </c>
      <c r="C203" s="161" t="e">
        <f>#REF!</f>
        <v>#REF!</v>
      </c>
      <c r="D203" s="161" t="e">
        <f>#REF!</f>
        <v>#REF!</v>
      </c>
      <c r="E203" s="161" t="e">
        <f>#REF!</f>
        <v>#REF!</v>
      </c>
      <c r="F203" s="161" t="e">
        <f>#REF!</f>
        <v>#REF!</v>
      </c>
      <c r="G203" s="161" t="e">
        <f>#REF!</f>
        <v>#REF!</v>
      </c>
      <c r="H203" s="161" t="e">
        <f>#REF!</f>
        <v>#REF!</v>
      </c>
    </row>
    <row r="204" spans="1:8" x14ac:dyDescent="0.3">
      <c r="A204" s="161" t="e">
        <f>#REF!</f>
        <v>#REF!</v>
      </c>
      <c r="B204" s="161" t="e">
        <f>#REF!</f>
        <v>#REF!</v>
      </c>
      <c r="C204" s="161" t="e">
        <f>#REF!</f>
        <v>#REF!</v>
      </c>
      <c r="D204" s="161" t="e">
        <f>#REF!</f>
        <v>#REF!</v>
      </c>
      <c r="E204" s="161" t="e">
        <f>#REF!</f>
        <v>#REF!</v>
      </c>
      <c r="F204" s="161" t="e">
        <f>#REF!</f>
        <v>#REF!</v>
      </c>
      <c r="G204" s="161" t="e">
        <f>#REF!</f>
        <v>#REF!</v>
      </c>
      <c r="H204" s="161" t="e">
        <f>#REF!</f>
        <v>#REF!</v>
      </c>
    </row>
    <row r="205" spans="1:8" x14ac:dyDescent="0.3">
      <c r="A205" s="161" t="e">
        <f>#REF!</f>
        <v>#REF!</v>
      </c>
      <c r="B205" s="161" t="e">
        <f>#REF!</f>
        <v>#REF!</v>
      </c>
      <c r="C205" s="161" t="e">
        <f>#REF!</f>
        <v>#REF!</v>
      </c>
      <c r="D205" s="161" t="e">
        <f>#REF!</f>
        <v>#REF!</v>
      </c>
      <c r="E205" s="161" t="e">
        <f>#REF!</f>
        <v>#REF!</v>
      </c>
      <c r="F205" s="161" t="e">
        <f>#REF!</f>
        <v>#REF!</v>
      </c>
      <c r="G205" s="161" t="e">
        <f>#REF!</f>
        <v>#REF!</v>
      </c>
      <c r="H205" s="161" t="e">
        <f>#REF!</f>
        <v>#REF!</v>
      </c>
    </row>
    <row r="206" spans="1:8" x14ac:dyDescent="0.3">
      <c r="A206" s="161" t="e">
        <f>#REF!</f>
        <v>#REF!</v>
      </c>
      <c r="B206" s="161" t="e">
        <f>#REF!</f>
        <v>#REF!</v>
      </c>
      <c r="C206" s="161" t="e">
        <f>#REF!</f>
        <v>#REF!</v>
      </c>
      <c r="D206" s="161" t="e">
        <f>#REF!</f>
        <v>#REF!</v>
      </c>
      <c r="E206" s="161" t="e">
        <f>#REF!</f>
        <v>#REF!</v>
      </c>
      <c r="F206" s="161" t="e">
        <f>#REF!</f>
        <v>#REF!</v>
      </c>
      <c r="G206" s="161" t="e">
        <f>#REF!</f>
        <v>#REF!</v>
      </c>
      <c r="H206" s="161" t="e">
        <f>#REF!</f>
        <v>#REF!</v>
      </c>
    </row>
    <row r="207" spans="1:8" x14ac:dyDescent="0.3">
      <c r="A207" s="161" t="e">
        <f>#REF!</f>
        <v>#REF!</v>
      </c>
      <c r="B207" s="161" t="e">
        <f>#REF!</f>
        <v>#REF!</v>
      </c>
      <c r="C207" s="161" t="e">
        <f>#REF!</f>
        <v>#REF!</v>
      </c>
      <c r="D207" s="161" t="e">
        <f>#REF!</f>
        <v>#REF!</v>
      </c>
      <c r="E207" s="161" t="e">
        <f>#REF!</f>
        <v>#REF!</v>
      </c>
      <c r="F207" s="161" t="e">
        <f>#REF!</f>
        <v>#REF!</v>
      </c>
      <c r="G207" s="161" t="e">
        <f>#REF!</f>
        <v>#REF!</v>
      </c>
      <c r="H207" s="161" t="e">
        <f>#REF!</f>
        <v>#REF!</v>
      </c>
    </row>
    <row r="208" spans="1:8" x14ac:dyDescent="0.3">
      <c r="A208" s="161" t="e">
        <f>#REF!</f>
        <v>#REF!</v>
      </c>
      <c r="B208" s="161" t="e">
        <f>#REF!</f>
        <v>#REF!</v>
      </c>
      <c r="C208" s="161" t="e">
        <f>#REF!</f>
        <v>#REF!</v>
      </c>
      <c r="D208" s="161" t="e">
        <f>#REF!</f>
        <v>#REF!</v>
      </c>
      <c r="E208" s="161" t="e">
        <f>#REF!</f>
        <v>#REF!</v>
      </c>
      <c r="F208" s="161" t="e">
        <f>#REF!</f>
        <v>#REF!</v>
      </c>
      <c r="G208" s="161" t="e">
        <f>#REF!</f>
        <v>#REF!</v>
      </c>
      <c r="H208" s="161" t="e">
        <f>#REF!</f>
        <v>#REF!</v>
      </c>
    </row>
  </sheetData>
  <pageMargins left="0.5" right="0.5" top="0.75" bottom="0.75" header="0.3" footer="0.3"/>
  <pageSetup paperSize="9" scale="68" orientation="landscape" r:id="rId1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33CC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0.5546875" style="161" bestFit="1" customWidth="1"/>
    <col min="2" max="2" width="25.5546875" style="161" customWidth="1"/>
    <col min="3" max="3" width="28.33203125" style="161" customWidth="1"/>
    <col min="4" max="4" width="11.44140625" style="161" bestFit="1" customWidth="1"/>
    <col min="5" max="5" width="13.109375" style="161" customWidth="1"/>
    <col min="6" max="6" width="9.6640625" style="161" customWidth="1"/>
    <col min="7" max="7" width="11.6640625" style="161" customWidth="1"/>
    <col min="8" max="8" width="13.88671875" style="161" bestFit="1" customWidth="1"/>
    <col min="9" max="9" width="17.6640625" style="16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5546875" style="161" customWidth="1"/>
    <col min="14" max="14" width="11.6640625" style="161" customWidth="1"/>
    <col min="15" max="16384" width="9.109375" style="161"/>
  </cols>
  <sheetData>
    <row r="1" spans="1:14" x14ac:dyDescent="0.3">
      <c r="A1" s="566" t="s">
        <v>523</v>
      </c>
      <c r="B1" s="161" t="s">
        <v>524</v>
      </c>
      <c r="J1" s="566" t="s">
        <v>528</v>
      </c>
      <c r="K1" s="163">
        <v>81</v>
      </c>
      <c r="M1" s="566" t="s">
        <v>531</v>
      </c>
      <c r="N1" s="336">
        <f>E16+I24+J28+I32</f>
        <v>96.900316671999988</v>
      </c>
    </row>
    <row r="2" spans="1:14" x14ac:dyDescent="0.3">
      <c r="A2" s="566" t="s">
        <v>532</v>
      </c>
      <c r="B2" s="161" t="s">
        <v>1418</v>
      </c>
      <c r="M2" s="566" t="s">
        <v>533</v>
      </c>
      <c r="N2" s="165">
        <v>1</v>
      </c>
    </row>
    <row r="3" spans="1:14" x14ac:dyDescent="0.3">
      <c r="A3" s="566" t="s">
        <v>534</v>
      </c>
      <c r="B3" s="161" t="s">
        <v>200</v>
      </c>
      <c r="J3" s="566" t="s">
        <v>536</v>
      </c>
    </row>
    <row r="4" spans="1:14" x14ac:dyDescent="0.3">
      <c r="A4" s="566" t="s">
        <v>537</v>
      </c>
      <c r="B4" s="166" t="s">
        <v>199</v>
      </c>
      <c r="J4" s="566" t="s">
        <v>538</v>
      </c>
      <c r="M4" s="566" t="s">
        <v>539</v>
      </c>
      <c r="N4" s="336">
        <f>N1*N2</f>
        <v>96.900316671999988</v>
      </c>
    </row>
    <row r="5" spans="1:14" x14ac:dyDescent="0.3">
      <c r="A5" s="566" t="s">
        <v>540</v>
      </c>
      <c r="B5" s="161" t="s">
        <v>36</v>
      </c>
      <c r="J5" s="566" t="s">
        <v>541</v>
      </c>
    </row>
    <row r="6" spans="1:14" x14ac:dyDescent="0.3">
      <c r="A6" s="566" t="s">
        <v>542</v>
      </c>
    </row>
    <row r="8" spans="1:14" x14ac:dyDescent="0.3">
      <c r="A8" s="567" t="s">
        <v>544</v>
      </c>
      <c r="B8" s="567" t="s">
        <v>545</v>
      </c>
      <c r="C8" s="567" t="s">
        <v>546</v>
      </c>
      <c r="D8" s="567" t="s">
        <v>28</v>
      </c>
      <c r="E8" s="567" t="s">
        <v>547</v>
      </c>
    </row>
    <row r="9" spans="1:14" x14ac:dyDescent="0.3">
      <c r="A9" s="168">
        <v>10</v>
      </c>
      <c r="B9" s="168" t="s">
        <v>202</v>
      </c>
      <c r="C9" s="323">
        <f>'FR 03001'!N1</f>
        <v>14.33815444</v>
      </c>
      <c r="D9" s="171">
        <f>'FR 03001'!N2</f>
        <v>1</v>
      </c>
      <c r="E9" s="322">
        <f>C9*D9</f>
        <v>14.33815444</v>
      </c>
    </row>
    <row r="10" spans="1:14" x14ac:dyDescent="0.3">
      <c r="A10" s="168">
        <v>20</v>
      </c>
      <c r="B10" s="168" t="s">
        <v>204</v>
      </c>
      <c r="C10" s="323">
        <f>'FR 03002'!N1</f>
        <v>16.434161792000001</v>
      </c>
      <c r="D10" s="171">
        <f>'FR 03002'!N2</f>
        <v>1</v>
      </c>
      <c r="E10" s="322">
        <f t="shared" ref="E10:E15" si="0">C10*D10</f>
        <v>16.434161792000001</v>
      </c>
    </row>
    <row r="11" spans="1:14" x14ac:dyDescent="0.3">
      <c r="A11" s="168">
        <v>30</v>
      </c>
      <c r="B11" s="218" t="s">
        <v>1474</v>
      </c>
      <c r="C11" s="336">
        <f>'FR 03003'!$N$1</f>
        <v>1.7400798</v>
      </c>
      <c r="D11" s="613">
        <f>'FR 03003'!N2</f>
        <v>1</v>
      </c>
      <c r="E11" s="322">
        <f t="shared" si="0"/>
        <v>1.7400798</v>
      </c>
    </row>
    <row r="12" spans="1:14" x14ac:dyDescent="0.3">
      <c r="A12" s="168">
        <v>40</v>
      </c>
      <c r="B12" s="168" t="s">
        <v>1475</v>
      </c>
      <c r="C12" s="323">
        <f>'FR 03004'!$N$1</f>
        <v>1.6695907444444444</v>
      </c>
      <c r="D12" s="171">
        <v>9</v>
      </c>
      <c r="E12" s="322">
        <f t="shared" si="0"/>
        <v>15.026316700000001</v>
      </c>
    </row>
    <row r="13" spans="1:14" x14ac:dyDescent="0.3">
      <c r="A13" s="168">
        <v>50</v>
      </c>
      <c r="B13" s="168" t="s">
        <v>1476</v>
      </c>
      <c r="C13" s="323">
        <f>'FR 03005'!$N$1</f>
        <v>0.73838653333333326</v>
      </c>
      <c r="D13" s="171">
        <v>12</v>
      </c>
      <c r="E13" s="322">
        <f t="shared" si="0"/>
        <v>8.8606383999999991</v>
      </c>
    </row>
    <row r="14" spans="1:14" x14ac:dyDescent="0.3">
      <c r="A14" s="168">
        <v>60</v>
      </c>
      <c r="B14" s="168" t="s">
        <v>1477</v>
      </c>
      <c r="C14" s="323">
        <f>'FR 03006'!$N$1</f>
        <v>2.4226662499999998</v>
      </c>
      <c r="D14" s="171">
        <v>2</v>
      </c>
      <c r="E14" s="322">
        <f t="shared" si="0"/>
        <v>4.8453324999999996</v>
      </c>
    </row>
    <row r="15" spans="1:14" x14ac:dyDescent="0.3">
      <c r="A15" s="168">
        <v>70</v>
      </c>
      <c r="B15" s="168" t="s">
        <v>1478</v>
      </c>
      <c r="C15" s="323">
        <f>'FR 03007'!$N$1</f>
        <v>0.85073050666666672</v>
      </c>
      <c r="D15" s="171">
        <v>6</v>
      </c>
      <c r="E15" s="322">
        <f t="shared" si="0"/>
        <v>5.1043830400000001</v>
      </c>
    </row>
    <row r="16" spans="1:14" x14ac:dyDescent="0.3">
      <c r="D16" s="568" t="s">
        <v>547</v>
      </c>
      <c r="E16" s="569">
        <f>SUM(E9:E15)</f>
        <v>66.349066671999992</v>
      </c>
    </row>
    <row r="18" spans="1:10" s="178" customFormat="1" x14ac:dyDescent="0.3">
      <c r="A18" s="567" t="s">
        <v>544</v>
      </c>
      <c r="B18" s="567" t="s">
        <v>548</v>
      </c>
      <c r="C18" s="567" t="s">
        <v>549</v>
      </c>
      <c r="D18" s="567" t="s">
        <v>550</v>
      </c>
      <c r="E18" s="567" t="s">
        <v>551</v>
      </c>
      <c r="F18" s="567" t="s">
        <v>28</v>
      </c>
      <c r="G18" s="567" t="s">
        <v>552</v>
      </c>
      <c r="H18" s="567" t="s">
        <v>553</v>
      </c>
      <c r="I18" s="567" t="s">
        <v>547</v>
      </c>
    </row>
    <row r="19" spans="1:10" x14ac:dyDescent="0.3">
      <c r="A19" s="168">
        <v>10</v>
      </c>
      <c r="B19" s="171" t="s">
        <v>650</v>
      </c>
      <c r="C19" s="171" t="s">
        <v>1479</v>
      </c>
      <c r="D19" s="323">
        <v>0.15</v>
      </c>
      <c r="E19" s="168" t="s">
        <v>593</v>
      </c>
      <c r="F19" s="168">
        <v>60</v>
      </c>
      <c r="G19" s="168"/>
      <c r="H19" s="168">
        <v>1</v>
      </c>
      <c r="I19" s="323">
        <f>D19*F19*H19</f>
        <v>9</v>
      </c>
    </row>
    <row r="20" spans="1:10" ht="43.2" x14ac:dyDescent="0.3">
      <c r="A20" s="168">
        <v>20</v>
      </c>
      <c r="B20" s="315" t="s">
        <v>749</v>
      </c>
      <c r="C20" s="171" t="s">
        <v>1480</v>
      </c>
      <c r="D20" s="323">
        <v>0.13</v>
      </c>
      <c r="E20" s="168" t="s">
        <v>551</v>
      </c>
      <c r="F20" s="168">
        <v>1</v>
      </c>
      <c r="G20" s="315" t="s">
        <v>1481</v>
      </c>
      <c r="H20" s="168">
        <v>1.25</v>
      </c>
      <c r="I20" s="323">
        <f>D20*F20*H20</f>
        <v>0.16250000000000001</v>
      </c>
    </row>
    <row r="21" spans="1:10" x14ac:dyDescent="0.3">
      <c r="A21" s="168">
        <v>30</v>
      </c>
      <c r="B21" s="180" t="s">
        <v>656</v>
      </c>
      <c r="C21" s="171" t="s">
        <v>1482</v>
      </c>
      <c r="D21" s="323">
        <v>0.25</v>
      </c>
      <c r="E21" s="168" t="s">
        <v>551</v>
      </c>
      <c r="F21" s="168">
        <v>19</v>
      </c>
      <c r="G21" s="168"/>
      <c r="H21" s="168">
        <v>1</v>
      </c>
      <c r="I21" s="323">
        <f>D21*F21*H21</f>
        <v>4.75</v>
      </c>
    </row>
    <row r="22" spans="1:10" ht="43.2" x14ac:dyDescent="0.3">
      <c r="A22" s="168">
        <v>40</v>
      </c>
      <c r="B22" s="315" t="s">
        <v>816</v>
      </c>
      <c r="C22" s="171" t="s">
        <v>1483</v>
      </c>
      <c r="D22" s="182">
        <v>0.375</v>
      </c>
      <c r="E22" s="168" t="s">
        <v>551</v>
      </c>
      <c r="F22" s="168">
        <v>1</v>
      </c>
      <c r="G22" s="315" t="s">
        <v>1481</v>
      </c>
      <c r="H22" s="168">
        <v>1.25</v>
      </c>
      <c r="I22" s="323">
        <f>D22*F22*H22</f>
        <v>0.46875</v>
      </c>
    </row>
    <row r="23" spans="1:10" x14ac:dyDescent="0.3">
      <c r="A23" s="168">
        <v>30</v>
      </c>
      <c r="B23" s="180" t="s">
        <v>656</v>
      </c>
      <c r="C23" s="171" t="s">
        <v>1482</v>
      </c>
      <c r="D23" s="323">
        <v>0.25</v>
      </c>
      <c r="E23" s="168" t="s">
        <v>551</v>
      </c>
      <c r="F23" s="168">
        <v>20</v>
      </c>
      <c r="G23" s="168"/>
      <c r="H23" s="168">
        <v>1</v>
      </c>
      <c r="I23" s="323">
        <f>D23*F23*H23</f>
        <v>5</v>
      </c>
    </row>
    <row r="24" spans="1:10" s="178" customFormat="1" x14ac:dyDescent="0.3">
      <c r="H24" s="568" t="s">
        <v>547</v>
      </c>
      <c r="I24" s="569">
        <f>SUM(I19:I23)</f>
        <v>19.381250000000001</v>
      </c>
    </row>
    <row r="26" spans="1:10" s="178" customFormat="1" x14ac:dyDescent="0.3">
      <c r="A26" s="567" t="s">
        <v>544</v>
      </c>
      <c r="B26" s="567" t="s">
        <v>566</v>
      </c>
      <c r="C26" s="567" t="s">
        <v>549</v>
      </c>
      <c r="D26" s="567" t="s">
        <v>550</v>
      </c>
      <c r="E26" s="567" t="s">
        <v>567</v>
      </c>
      <c r="F26" s="567" t="s">
        <v>568</v>
      </c>
      <c r="G26" s="567" t="s">
        <v>569</v>
      </c>
      <c r="H26" s="567" t="s">
        <v>570</v>
      </c>
      <c r="I26" s="567" t="s">
        <v>28</v>
      </c>
      <c r="J26" s="567" t="s">
        <v>547</v>
      </c>
    </row>
    <row r="27" spans="1:10" x14ac:dyDescent="0.3">
      <c r="A27" s="168">
        <v>10</v>
      </c>
      <c r="B27" s="225" t="s">
        <v>854</v>
      </c>
      <c r="C27" s="168" t="s">
        <v>1484</v>
      </c>
      <c r="D27" s="585">
        <v>0.03</v>
      </c>
      <c r="E27" s="168" t="s">
        <v>551</v>
      </c>
      <c r="F27" s="245"/>
      <c r="G27" s="168"/>
      <c r="H27" s="171"/>
      <c r="I27" s="327">
        <v>39</v>
      </c>
      <c r="J27" s="323">
        <f>D27*I27</f>
        <v>1.17</v>
      </c>
    </row>
    <row r="28" spans="1:10" s="178" customFormat="1" x14ac:dyDescent="0.3">
      <c r="I28" s="568" t="s">
        <v>547</v>
      </c>
      <c r="J28" s="569">
        <f>SUM(J27:J27)</f>
        <v>1.17</v>
      </c>
    </row>
    <row r="29" spans="1:10" x14ac:dyDescent="0.3">
      <c r="H29" s="326"/>
      <c r="I29" s="325"/>
    </row>
    <row r="30" spans="1:10" s="178" customFormat="1" x14ac:dyDescent="0.3">
      <c r="A30" s="567" t="s">
        <v>544</v>
      </c>
      <c r="B30" s="567" t="s">
        <v>6</v>
      </c>
      <c r="C30" s="567" t="s">
        <v>549</v>
      </c>
      <c r="D30" s="567" t="s">
        <v>550</v>
      </c>
      <c r="E30" s="567" t="s">
        <v>551</v>
      </c>
      <c r="F30" s="567" t="s">
        <v>28</v>
      </c>
      <c r="G30" s="567" t="s">
        <v>691</v>
      </c>
      <c r="H30" s="567" t="s">
        <v>736</v>
      </c>
      <c r="I30" s="567" t="s">
        <v>547</v>
      </c>
    </row>
    <row r="31" spans="1:10" x14ac:dyDescent="0.3">
      <c r="A31" s="168">
        <v>10</v>
      </c>
      <c r="B31" s="168" t="s">
        <v>1485</v>
      </c>
      <c r="C31" s="168" t="s">
        <v>1479</v>
      </c>
      <c r="D31" s="323">
        <v>500</v>
      </c>
      <c r="E31" s="168" t="s">
        <v>695</v>
      </c>
      <c r="F31" s="168">
        <v>60</v>
      </c>
      <c r="G31" s="168">
        <v>3000</v>
      </c>
      <c r="H31" s="168">
        <v>1</v>
      </c>
      <c r="I31" s="322">
        <f>D31*F31/G31*H31</f>
        <v>10</v>
      </c>
    </row>
    <row r="32" spans="1:10" s="178" customFormat="1" x14ac:dyDescent="0.3">
      <c r="H32" s="568" t="s">
        <v>547</v>
      </c>
      <c r="I32" s="569">
        <f>SUM(I31:I31)</f>
        <v>10</v>
      </c>
    </row>
  </sheetData>
  <pageMargins left="0.5" right="0.5" top="0.75" bottom="0.75" header="0.3" footer="0.3"/>
  <pageSetup paperSize="9" scale="68" orientation="landscape" r:id="rId1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9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14.44140625" style="311" customWidth="1"/>
    <col min="3" max="3" width="16.8867187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0.109375" style="311" bestFit="1" customWidth="1"/>
    <col min="8" max="8" width="13.88671875" style="311" bestFit="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3.88671875" style="311" bestFit="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586" t="s">
        <v>523</v>
      </c>
      <c r="B1" s="311" t="s">
        <v>524</v>
      </c>
      <c r="J1" s="571" t="s">
        <v>528</v>
      </c>
      <c r="K1" s="163">
        <v>81</v>
      </c>
      <c r="M1" s="586" t="s">
        <v>546</v>
      </c>
      <c r="N1" s="424">
        <f>N11+I17</f>
        <v>14.33815444</v>
      </c>
    </row>
    <row r="2" spans="1:14" x14ac:dyDescent="0.3">
      <c r="A2" s="586" t="s">
        <v>532</v>
      </c>
      <c r="B2" s="311" t="s">
        <v>1486</v>
      </c>
      <c r="D2" s="586" t="s">
        <v>536</v>
      </c>
      <c r="M2" s="586" t="s">
        <v>533</v>
      </c>
      <c r="N2" s="425">
        <v>1</v>
      </c>
    </row>
    <row r="3" spans="1:14" x14ac:dyDescent="0.3">
      <c r="A3" s="586" t="s">
        <v>534</v>
      </c>
      <c r="B3" s="311" t="s">
        <v>1487</v>
      </c>
      <c r="D3" s="586" t="s">
        <v>538</v>
      </c>
      <c r="J3" s="586" t="s">
        <v>536</v>
      </c>
    </row>
    <row r="4" spans="1:14" x14ac:dyDescent="0.3">
      <c r="A4" s="586" t="s">
        <v>545</v>
      </c>
      <c r="B4" s="166" t="s">
        <v>202</v>
      </c>
      <c r="D4" s="586" t="s">
        <v>541</v>
      </c>
      <c r="J4" s="586" t="s">
        <v>538</v>
      </c>
      <c r="M4" s="586" t="s">
        <v>539</v>
      </c>
      <c r="N4" s="424">
        <f>N1*N2</f>
        <v>14.33815444</v>
      </c>
    </row>
    <row r="5" spans="1:14" x14ac:dyDescent="0.3">
      <c r="A5" s="586" t="s">
        <v>537</v>
      </c>
      <c r="B5" s="166" t="s">
        <v>201</v>
      </c>
      <c r="J5" s="586" t="s">
        <v>541</v>
      </c>
    </row>
    <row r="6" spans="1:14" x14ac:dyDescent="0.3">
      <c r="A6" s="586" t="s">
        <v>540</v>
      </c>
      <c r="B6" s="311" t="s">
        <v>36</v>
      </c>
    </row>
    <row r="7" spans="1:14" x14ac:dyDescent="0.3">
      <c r="A7" s="586" t="s">
        <v>542</v>
      </c>
      <c r="B7" s="462"/>
    </row>
    <row r="9" spans="1:14" s="432" customFormat="1" x14ac:dyDescent="0.3">
      <c r="A9" s="587" t="s">
        <v>544</v>
      </c>
      <c r="B9" s="587" t="s">
        <v>581</v>
      </c>
      <c r="C9" s="587" t="s">
        <v>549</v>
      </c>
      <c r="D9" s="587" t="s">
        <v>550</v>
      </c>
      <c r="E9" s="587" t="s">
        <v>567</v>
      </c>
      <c r="F9" s="587" t="s">
        <v>568</v>
      </c>
      <c r="G9" s="587" t="s">
        <v>569</v>
      </c>
      <c r="H9" s="587" t="s">
        <v>570</v>
      </c>
      <c r="I9" s="587" t="s">
        <v>582</v>
      </c>
      <c r="J9" s="587" t="s">
        <v>583</v>
      </c>
      <c r="K9" s="587" t="s">
        <v>584</v>
      </c>
      <c r="L9" s="587" t="s">
        <v>585</v>
      </c>
      <c r="M9" s="587" t="s">
        <v>28</v>
      </c>
      <c r="N9" s="587" t="s">
        <v>547</v>
      </c>
    </row>
    <row r="10" spans="1:14" ht="28.8" x14ac:dyDescent="0.3">
      <c r="A10" s="183">
        <v>10</v>
      </c>
      <c r="B10" s="190" t="s">
        <v>1032</v>
      </c>
      <c r="C10" s="183" t="s">
        <v>1488</v>
      </c>
      <c r="D10" s="241">
        <v>4.2</v>
      </c>
      <c r="E10" s="459">
        <f>J10*K10*L10</f>
        <v>0.96860820000000003</v>
      </c>
      <c r="F10" s="183" t="s">
        <v>856</v>
      </c>
      <c r="G10" s="183"/>
      <c r="H10" s="204"/>
      <c r="I10" s="269" t="s">
        <v>1489</v>
      </c>
      <c r="J10" s="206">
        <f>740*483/1000000</f>
        <v>0.35742000000000002</v>
      </c>
      <c r="K10" s="207">
        <v>1E-3</v>
      </c>
      <c r="L10" s="204">
        <v>2710</v>
      </c>
      <c r="M10" s="431">
        <v>1</v>
      </c>
      <c r="N10" s="385">
        <f>IF(J10="",D10*M10,D10*J10*K10*L10*M10)</f>
        <v>4.0681544400000007</v>
      </c>
    </row>
    <row r="11" spans="1:14" s="432" customFormat="1" x14ac:dyDescent="0.3">
      <c r="M11" s="574" t="s">
        <v>547</v>
      </c>
      <c r="N11" s="588">
        <f>SUM(N10:N10)</f>
        <v>4.0681544400000007</v>
      </c>
    </row>
    <row r="13" spans="1:14" s="432" customFormat="1" x14ac:dyDescent="0.3">
      <c r="A13" s="587" t="s">
        <v>544</v>
      </c>
      <c r="B13" s="587" t="s">
        <v>548</v>
      </c>
      <c r="C13" s="587" t="s">
        <v>549</v>
      </c>
      <c r="D13" s="587" t="s">
        <v>550</v>
      </c>
      <c r="E13" s="587" t="s">
        <v>551</v>
      </c>
      <c r="F13" s="587" t="s">
        <v>28</v>
      </c>
      <c r="G13" s="587" t="s">
        <v>552</v>
      </c>
      <c r="H13" s="587" t="s">
        <v>553</v>
      </c>
      <c r="I13" s="587" t="s">
        <v>547</v>
      </c>
    </row>
    <row r="14" spans="1:14" ht="43.2" x14ac:dyDescent="0.3">
      <c r="A14" s="183">
        <v>10</v>
      </c>
      <c r="B14" s="193" t="s">
        <v>589</v>
      </c>
      <c r="C14" s="193" t="s">
        <v>590</v>
      </c>
      <c r="D14" s="241">
        <v>1.3</v>
      </c>
      <c r="E14" s="183" t="s">
        <v>551</v>
      </c>
      <c r="F14" s="183">
        <v>1</v>
      </c>
      <c r="G14" s="180"/>
      <c r="H14" s="183"/>
      <c r="I14" s="385">
        <f>F14*D14</f>
        <v>1.3</v>
      </c>
    </row>
    <row r="15" spans="1:14" ht="28.8" x14ac:dyDescent="0.3">
      <c r="A15" s="183">
        <v>20</v>
      </c>
      <c r="B15" s="180" t="s">
        <v>591</v>
      </c>
      <c r="C15" s="193" t="s">
        <v>1490</v>
      </c>
      <c r="D15" s="241">
        <v>0.01</v>
      </c>
      <c r="E15" s="183" t="s">
        <v>593</v>
      </c>
      <c r="F15" s="183">
        <v>232</v>
      </c>
      <c r="G15" s="590" t="s">
        <v>710</v>
      </c>
      <c r="H15" s="168">
        <v>1</v>
      </c>
      <c r="I15" s="385">
        <f>F15*D15</f>
        <v>2.3199999999999998</v>
      </c>
    </row>
    <row r="16" spans="1:14" s="432" customFormat="1" ht="28.8" x14ac:dyDescent="0.3">
      <c r="A16" s="183">
        <v>30</v>
      </c>
      <c r="B16" s="180" t="s">
        <v>791</v>
      </c>
      <c r="C16" s="414" t="s">
        <v>1491</v>
      </c>
      <c r="D16" s="241">
        <v>0.35</v>
      </c>
      <c r="E16" s="183" t="s">
        <v>843</v>
      </c>
      <c r="F16" s="183">
        <v>19</v>
      </c>
      <c r="G16" s="183"/>
      <c r="H16" s="183"/>
      <c r="I16" s="385">
        <f>F16*D16</f>
        <v>6.6499999999999995</v>
      </c>
    </row>
    <row r="17" spans="1:9" x14ac:dyDescent="0.3">
      <c r="A17" s="432"/>
      <c r="B17" s="432"/>
      <c r="C17" s="432"/>
      <c r="D17" s="432"/>
      <c r="E17" s="432"/>
      <c r="F17" s="432"/>
      <c r="G17" s="432"/>
      <c r="H17" s="574" t="s">
        <v>547</v>
      </c>
      <c r="I17" s="588">
        <f>SUM(I14:I16)</f>
        <v>10.27</v>
      </c>
    </row>
    <row r="19" spans="1:9" x14ac:dyDescent="0.3">
      <c r="H19" s="326"/>
      <c r="I19" s="447"/>
    </row>
  </sheetData>
  <pageMargins left="0.7" right="0.7" top="0.75" bottom="0.75" header="0.3" footer="0.3"/>
  <pageSetup paperSize="9" scale="68" orientation="landscape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96"/>
  <sheetViews>
    <sheetView showGridLines="0" workbookViewId="0"/>
  </sheetViews>
  <sheetFormatPr defaultColWidth="11.44140625" defaultRowHeight="14.4" x14ac:dyDescent="0.3"/>
  <cols>
    <col min="2" max="2" width="25.44140625" customWidth="1"/>
    <col min="3" max="3" width="23.5546875" customWidth="1"/>
    <col min="7" max="7" width="17" customWidth="1"/>
    <col min="13" max="13" width="15.3320312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N11+I16</f>
        <v>6.9797859406250007</v>
      </c>
    </row>
    <row r="2" spans="1:14" x14ac:dyDescent="0.3">
      <c r="A2" s="197" t="s">
        <v>532</v>
      </c>
      <c r="B2" s="161" t="s">
        <v>578</v>
      </c>
      <c r="C2" s="318" t="s">
        <v>732</v>
      </c>
      <c r="D2" s="317" t="s">
        <v>536</v>
      </c>
      <c r="M2" s="197" t="s">
        <v>533</v>
      </c>
      <c r="N2" s="165">
        <v>2</v>
      </c>
    </row>
    <row r="3" spans="1:14" x14ac:dyDescent="0.3">
      <c r="A3" s="197" t="s">
        <v>534</v>
      </c>
      <c r="B3" t="s">
        <v>619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6" t="s">
        <v>40</v>
      </c>
      <c r="D4" s="197" t="s">
        <v>541</v>
      </c>
      <c r="J4" s="197" t="s">
        <v>538</v>
      </c>
      <c r="M4" s="197" t="s">
        <v>539</v>
      </c>
      <c r="N4" s="164">
        <f>N2*N1</f>
        <v>13.959571881250001</v>
      </c>
    </row>
    <row r="5" spans="1:14" x14ac:dyDescent="0.3">
      <c r="A5" s="197" t="s">
        <v>537</v>
      </c>
      <c r="B5" s="199" t="s">
        <v>49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200" t="s">
        <v>542</v>
      </c>
      <c r="B7" s="161" t="s">
        <v>595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s="211" customFormat="1" ht="28.8" x14ac:dyDescent="0.3">
      <c r="A10" s="183">
        <v>10</v>
      </c>
      <c r="B10" s="190" t="s">
        <v>596</v>
      </c>
      <c r="C10" s="184" t="s">
        <v>597</v>
      </c>
      <c r="D10" s="185">
        <v>2.25</v>
      </c>
      <c r="E10" s="183">
        <v>165</v>
      </c>
      <c r="F10" s="183" t="s">
        <v>573</v>
      </c>
      <c r="G10" s="183"/>
      <c r="H10" s="204"/>
      <c r="I10" s="205" t="s">
        <v>588</v>
      </c>
      <c r="J10" s="206">
        <f>(E10*10^-3)^2*3.14/4</f>
        <v>2.1371625000000002E-2</v>
      </c>
      <c r="K10" s="207">
        <v>5.0000000000000001E-3</v>
      </c>
      <c r="L10" s="217">
        <v>7860</v>
      </c>
      <c r="M10" s="206">
        <f>K10*J10*L10</f>
        <v>0.83990486250000007</v>
      </c>
      <c r="N10" s="210">
        <f>M10*D10</f>
        <v>1.8897859406250002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212" t="s">
        <v>547</v>
      </c>
      <c r="N11" s="213">
        <f>N10</f>
        <v>1.8897859406250002</v>
      </c>
    </row>
    <row r="13" spans="1:14" x14ac:dyDescent="0.3">
      <c r="A13" s="203" t="s">
        <v>544</v>
      </c>
      <c r="B13" s="203" t="s">
        <v>548</v>
      </c>
      <c r="C13" s="203" t="s">
        <v>549</v>
      </c>
      <c r="D13" s="203" t="s">
        <v>550</v>
      </c>
      <c r="E13" s="203" t="s">
        <v>551</v>
      </c>
      <c r="F13" s="203" t="s">
        <v>28</v>
      </c>
      <c r="G13" s="203" t="s">
        <v>552</v>
      </c>
      <c r="H13" s="203" t="s">
        <v>553</v>
      </c>
      <c r="I13" s="203" t="s">
        <v>547</v>
      </c>
      <c r="J13" s="178"/>
      <c r="K13" s="178"/>
      <c r="L13" s="178"/>
      <c r="M13" s="178"/>
      <c r="N13" s="178"/>
    </row>
    <row r="14" spans="1:14" ht="43.2" x14ac:dyDescent="0.3">
      <c r="A14" s="179">
        <v>10</v>
      </c>
      <c r="B14" s="180" t="s">
        <v>589</v>
      </c>
      <c r="C14" s="179" t="s">
        <v>590</v>
      </c>
      <c r="D14" s="170">
        <v>1.3</v>
      </c>
      <c r="E14" s="180" t="s">
        <v>556</v>
      </c>
      <c r="F14" s="179">
        <v>1</v>
      </c>
      <c r="G14" s="267" t="s">
        <v>2949</v>
      </c>
      <c r="H14" s="179">
        <v>0.5</v>
      </c>
      <c r="I14" s="214">
        <f>D14*H14</f>
        <v>0.65</v>
      </c>
    </row>
    <row r="15" spans="1:14" x14ac:dyDescent="0.3">
      <c r="A15" s="168">
        <v>20</v>
      </c>
      <c r="B15" s="180" t="s">
        <v>591</v>
      </c>
      <c r="C15" s="168" t="s">
        <v>592</v>
      </c>
      <c r="D15" s="170">
        <v>0.01</v>
      </c>
      <c r="E15" s="168" t="s">
        <v>593</v>
      </c>
      <c r="F15" s="168">
        <v>148</v>
      </c>
      <c r="G15" s="180" t="s">
        <v>598</v>
      </c>
      <c r="H15" s="179">
        <v>3</v>
      </c>
      <c r="I15" s="170">
        <f>H15*F15*D15</f>
        <v>4.4400000000000004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216" t="s">
        <v>547</v>
      </c>
      <c r="I16" s="213">
        <f>I15+I14</f>
        <v>5.0900000000000007</v>
      </c>
      <c r="J16" s="178"/>
      <c r="K16" s="178"/>
      <c r="L16" s="178"/>
      <c r="M16" s="178"/>
      <c r="N16" s="178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  <row r="195" spans="1:8" x14ac:dyDescent="0.3">
      <c r="A195" s="161"/>
      <c r="B195" s="161"/>
      <c r="C195" s="161"/>
      <c r="D195" s="161"/>
      <c r="E195" s="161"/>
      <c r="F195" s="161"/>
      <c r="G195" s="161"/>
      <c r="H195" s="161"/>
    </row>
    <row r="196" spans="1:8" x14ac:dyDescent="0.3">
      <c r="A196" s="161"/>
      <c r="B196" s="161"/>
      <c r="C196" s="161"/>
      <c r="D196" s="161"/>
      <c r="E196" s="161"/>
      <c r="F196" s="161"/>
      <c r="G196" s="161"/>
      <c r="H196" s="161"/>
    </row>
  </sheetData>
  <hyperlinks>
    <hyperlink ref="D2" location="'Shrink disc drawing'!A1" display="FileLink1"/>
  </hyperlinks>
  <pageMargins left="0.7" right="0.7" top="0.75" bottom="0.75" header="0.3" footer="0.3"/>
  <pageSetup paperSize="9" scale="69" fitToHeight="0" orientation="landscape" r:id="rId1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8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14.44140625" style="311" customWidth="1"/>
    <col min="3" max="3" width="16.8867187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0.109375" style="311" bestFit="1" customWidth="1"/>
    <col min="8" max="8" width="13.88671875" style="311" bestFit="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3.88671875" style="311" bestFit="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586" t="s">
        <v>523</v>
      </c>
      <c r="B1" s="311" t="s">
        <v>524</v>
      </c>
      <c r="J1" s="571" t="s">
        <v>528</v>
      </c>
      <c r="K1" s="163">
        <v>81</v>
      </c>
      <c r="M1" s="586" t="s">
        <v>546</v>
      </c>
      <c r="N1" s="424">
        <f>N11+I18</f>
        <v>16.434161792000001</v>
      </c>
    </row>
    <row r="2" spans="1:14" x14ac:dyDescent="0.3">
      <c r="A2" s="586" t="s">
        <v>532</v>
      </c>
      <c r="B2" s="311" t="s">
        <v>1486</v>
      </c>
      <c r="D2" s="586" t="s">
        <v>536</v>
      </c>
      <c r="M2" s="586" t="s">
        <v>533</v>
      </c>
      <c r="N2" s="425">
        <v>1</v>
      </c>
    </row>
    <row r="3" spans="1:14" x14ac:dyDescent="0.3">
      <c r="A3" s="586" t="s">
        <v>534</v>
      </c>
      <c r="B3" s="311" t="s">
        <v>1487</v>
      </c>
      <c r="D3" s="586" t="s">
        <v>538</v>
      </c>
      <c r="J3" s="586" t="s">
        <v>536</v>
      </c>
    </row>
    <row r="4" spans="1:14" x14ac:dyDescent="0.3">
      <c r="A4" s="586" t="s">
        <v>545</v>
      </c>
      <c r="B4" s="166" t="s">
        <v>204</v>
      </c>
      <c r="D4" s="586" t="s">
        <v>541</v>
      </c>
      <c r="J4" s="586" t="s">
        <v>538</v>
      </c>
      <c r="M4" s="586" t="s">
        <v>539</v>
      </c>
      <c r="N4" s="424">
        <f>N1*N2</f>
        <v>16.434161792000001</v>
      </c>
    </row>
    <row r="5" spans="1:14" x14ac:dyDescent="0.3">
      <c r="A5" s="586" t="s">
        <v>537</v>
      </c>
      <c r="B5" s="166" t="s">
        <v>203</v>
      </c>
      <c r="J5" s="586" t="s">
        <v>541</v>
      </c>
    </row>
    <row r="6" spans="1:14" x14ac:dyDescent="0.3">
      <c r="A6" s="586" t="s">
        <v>540</v>
      </c>
      <c r="B6" s="311" t="s">
        <v>36</v>
      </c>
    </row>
    <row r="7" spans="1:14" x14ac:dyDescent="0.3">
      <c r="A7" s="586" t="s">
        <v>542</v>
      </c>
      <c r="B7" s="462"/>
    </row>
    <row r="9" spans="1:14" s="432" customFormat="1" x14ac:dyDescent="0.3">
      <c r="A9" s="587" t="s">
        <v>544</v>
      </c>
      <c r="B9" s="587" t="s">
        <v>581</v>
      </c>
      <c r="C9" s="587" t="s">
        <v>549</v>
      </c>
      <c r="D9" s="587" t="s">
        <v>550</v>
      </c>
      <c r="E9" s="587" t="s">
        <v>567</v>
      </c>
      <c r="F9" s="587" t="s">
        <v>568</v>
      </c>
      <c r="G9" s="587" t="s">
        <v>569</v>
      </c>
      <c r="H9" s="587" t="s">
        <v>570</v>
      </c>
      <c r="I9" s="587" t="s">
        <v>582</v>
      </c>
      <c r="J9" s="587" t="s">
        <v>583</v>
      </c>
      <c r="K9" s="587" t="s">
        <v>584</v>
      </c>
      <c r="L9" s="587" t="s">
        <v>585</v>
      </c>
      <c r="M9" s="587" t="s">
        <v>28</v>
      </c>
      <c r="N9" s="587" t="s">
        <v>547</v>
      </c>
    </row>
    <row r="10" spans="1:14" ht="28.8" x14ac:dyDescent="0.3">
      <c r="A10" s="183">
        <v>10</v>
      </c>
      <c r="B10" s="190" t="s">
        <v>1032</v>
      </c>
      <c r="C10" s="183" t="s">
        <v>1488</v>
      </c>
      <c r="D10" s="241">
        <v>4.2</v>
      </c>
      <c r="E10" s="459">
        <f>J10*K10*L10</f>
        <v>1.25813376</v>
      </c>
      <c r="F10" s="183" t="s">
        <v>856</v>
      </c>
      <c r="G10" s="183"/>
      <c r="H10" s="204"/>
      <c r="I10" s="269" t="s">
        <v>1492</v>
      </c>
      <c r="J10" s="206">
        <f>744*624/1000000</f>
        <v>0.464256</v>
      </c>
      <c r="K10" s="207">
        <v>1E-3</v>
      </c>
      <c r="L10" s="204">
        <v>2710</v>
      </c>
      <c r="M10" s="431">
        <v>1</v>
      </c>
      <c r="N10" s="385">
        <f>IF(J10="",D10*M10,D10*J10*K10*L10*M10)</f>
        <v>5.2841617920000008</v>
      </c>
    </row>
    <row r="11" spans="1:14" s="432" customFormat="1" x14ac:dyDescent="0.3">
      <c r="M11" s="574" t="s">
        <v>547</v>
      </c>
      <c r="N11" s="588">
        <f>SUM(N10:N10)</f>
        <v>5.2841617920000008</v>
      </c>
    </row>
    <row r="13" spans="1:14" s="432" customFormat="1" x14ac:dyDescent="0.3">
      <c r="A13" s="587" t="s">
        <v>544</v>
      </c>
      <c r="B13" s="587" t="s">
        <v>548</v>
      </c>
      <c r="C13" s="587" t="s">
        <v>549</v>
      </c>
      <c r="D13" s="587" t="s">
        <v>550</v>
      </c>
      <c r="E13" s="587" t="s">
        <v>551</v>
      </c>
      <c r="F13" s="587" t="s">
        <v>28</v>
      </c>
      <c r="G13" s="587" t="s">
        <v>552</v>
      </c>
      <c r="H13" s="587" t="s">
        <v>553</v>
      </c>
      <c r="I13" s="587" t="s">
        <v>547</v>
      </c>
    </row>
    <row r="14" spans="1:14" ht="43.2" x14ac:dyDescent="0.3">
      <c r="A14" s="183">
        <v>10</v>
      </c>
      <c r="B14" s="193" t="s">
        <v>589</v>
      </c>
      <c r="C14" s="193" t="s">
        <v>590</v>
      </c>
      <c r="D14" s="241">
        <v>1.3</v>
      </c>
      <c r="E14" s="183" t="s">
        <v>551</v>
      </c>
      <c r="F14" s="183">
        <v>1</v>
      </c>
      <c r="G14" s="180"/>
      <c r="H14" s="183"/>
      <c r="I14" s="385">
        <f>F14*D14</f>
        <v>1.3</v>
      </c>
    </row>
    <row r="15" spans="1:14" ht="28.8" x14ac:dyDescent="0.3">
      <c r="A15" s="183">
        <v>20</v>
      </c>
      <c r="B15" s="180" t="s">
        <v>591</v>
      </c>
      <c r="C15" s="193" t="s">
        <v>1490</v>
      </c>
      <c r="D15" s="241">
        <v>0.01</v>
      </c>
      <c r="E15" s="183" t="s">
        <v>593</v>
      </c>
      <c r="F15" s="183">
        <v>260</v>
      </c>
      <c r="G15" s="590" t="s">
        <v>710</v>
      </c>
      <c r="H15" s="168">
        <v>1</v>
      </c>
      <c r="I15" s="385">
        <f>D15*F15</f>
        <v>2.6</v>
      </c>
    </row>
    <row r="16" spans="1:14" ht="28.8" x14ac:dyDescent="0.3">
      <c r="A16" s="183">
        <v>30</v>
      </c>
      <c r="B16" s="180" t="s">
        <v>702</v>
      </c>
      <c r="C16" s="414" t="s">
        <v>1493</v>
      </c>
      <c r="D16" s="241">
        <v>0.25</v>
      </c>
      <c r="E16" s="183" t="s">
        <v>704</v>
      </c>
      <c r="F16" s="183">
        <v>1</v>
      </c>
      <c r="G16" s="183"/>
      <c r="H16" s="183"/>
      <c r="I16" s="385">
        <f>D16*F16</f>
        <v>0.25</v>
      </c>
    </row>
    <row r="17" spans="1:9" s="432" customFormat="1" ht="28.8" x14ac:dyDescent="0.3">
      <c r="A17" s="183">
        <v>40</v>
      </c>
      <c r="B17" s="180" t="s">
        <v>791</v>
      </c>
      <c r="C17" s="414" t="s">
        <v>1491</v>
      </c>
      <c r="D17" s="241">
        <v>0.35</v>
      </c>
      <c r="E17" s="183" t="s">
        <v>843</v>
      </c>
      <c r="F17" s="183">
        <v>20</v>
      </c>
      <c r="G17" s="183"/>
      <c r="H17" s="183"/>
      <c r="I17" s="385">
        <f>F17*D17</f>
        <v>7</v>
      </c>
    </row>
    <row r="18" spans="1:9" x14ac:dyDescent="0.3">
      <c r="A18" s="432"/>
      <c r="B18" s="432"/>
      <c r="C18" s="432"/>
      <c r="D18" s="432"/>
      <c r="E18" s="432"/>
      <c r="F18" s="432"/>
      <c r="G18" s="432"/>
      <c r="H18" s="574" t="s">
        <v>547</v>
      </c>
      <c r="I18" s="588">
        <f>SUM(I14:I17)</f>
        <v>11.15</v>
      </c>
    </row>
  </sheetData>
  <pageMargins left="0.7" right="0.7" top="0.75" bottom="0.75" header="0.3" footer="0.3"/>
  <pageSetup paperSize="9" scale="68" orientation="landscape" r:id="rId1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9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14.44140625" style="311" customWidth="1"/>
    <col min="3" max="3" width="16.8867187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0.109375" style="311" bestFit="1" customWidth="1"/>
    <col min="8" max="8" width="13.88671875" style="311" bestFit="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3.88671875" style="311" bestFit="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586" t="s">
        <v>523</v>
      </c>
      <c r="B1" s="311" t="s">
        <v>524</v>
      </c>
      <c r="J1" s="571" t="s">
        <v>528</v>
      </c>
      <c r="K1" s="163">
        <v>81</v>
      </c>
      <c r="M1" s="586" t="s">
        <v>546</v>
      </c>
      <c r="N1" s="424">
        <f>I19+N12</f>
        <v>1.7400798</v>
      </c>
    </row>
    <row r="2" spans="1:14" x14ac:dyDescent="0.3">
      <c r="A2" s="586" t="s">
        <v>532</v>
      </c>
      <c r="B2" s="311" t="s">
        <v>1486</v>
      </c>
      <c r="D2" s="586" t="s">
        <v>536</v>
      </c>
      <c r="M2" s="586" t="s">
        <v>533</v>
      </c>
      <c r="N2" s="425">
        <v>1</v>
      </c>
    </row>
    <row r="3" spans="1:14" x14ac:dyDescent="0.3">
      <c r="A3" s="586" t="s">
        <v>534</v>
      </c>
      <c r="B3" s="311" t="s">
        <v>1487</v>
      </c>
      <c r="D3" s="586" t="s">
        <v>538</v>
      </c>
      <c r="J3" s="586" t="s">
        <v>536</v>
      </c>
    </row>
    <row r="4" spans="1:14" x14ac:dyDescent="0.3">
      <c r="A4" s="586" t="s">
        <v>545</v>
      </c>
      <c r="B4" s="166" t="s">
        <v>1474</v>
      </c>
      <c r="D4" s="586" t="s">
        <v>541</v>
      </c>
      <c r="J4" s="586" t="s">
        <v>538</v>
      </c>
      <c r="M4" s="586" t="s">
        <v>539</v>
      </c>
      <c r="N4" s="424">
        <f>N1*N2</f>
        <v>1.7400798</v>
      </c>
    </row>
    <row r="5" spans="1:14" x14ac:dyDescent="0.3">
      <c r="A5" s="586" t="s">
        <v>537</v>
      </c>
      <c r="B5" s="166" t="s">
        <v>205</v>
      </c>
      <c r="J5" s="586" t="s">
        <v>541</v>
      </c>
    </row>
    <row r="6" spans="1:14" x14ac:dyDescent="0.3">
      <c r="A6" s="586" t="s">
        <v>540</v>
      </c>
      <c r="B6" s="311" t="s">
        <v>36</v>
      </c>
    </row>
    <row r="7" spans="1:14" x14ac:dyDescent="0.3">
      <c r="A7" s="586" t="s">
        <v>542</v>
      </c>
    </row>
    <row r="9" spans="1:14" s="432" customFormat="1" x14ac:dyDescent="0.3">
      <c r="A9" s="587" t="s">
        <v>544</v>
      </c>
      <c r="B9" s="587" t="s">
        <v>581</v>
      </c>
      <c r="C9" s="587" t="s">
        <v>549</v>
      </c>
      <c r="D9" s="587" t="s">
        <v>550</v>
      </c>
      <c r="E9" s="587" t="s">
        <v>567</v>
      </c>
      <c r="F9" s="587" t="s">
        <v>568</v>
      </c>
      <c r="G9" s="587" t="s">
        <v>569</v>
      </c>
      <c r="H9" s="587" t="s">
        <v>570</v>
      </c>
      <c r="I9" s="587" t="s">
        <v>582</v>
      </c>
      <c r="J9" s="587" t="s">
        <v>583</v>
      </c>
      <c r="K9" s="587" t="s">
        <v>584</v>
      </c>
      <c r="L9" s="587" t="s">
        <v>585</v>
      </c>
      <c r="M9" s="587" t="s">
        <v>28</v>
      </c>
      <c r="N9" s="587" t="s">
        <v>547</v>
      </c>
    </row>
    <row r="10" spans="1:14" ht="28.8" x14ac:dyDescent="0.3">
      <c r="A10" s="183">
        <v>10</v>
      </c>
      <c r="B10" s="451" t="s">
        <v>596</v>
      </c>
      <c r="C10" s="183" t="s">
        <v>104</v>
      </c>
      <c r="D10" s="241">
        <v>2.25</v>
      </c>
      <c r="E10" s="459">
        <f>J10*K10*L10</f>
        <v>8.4887999999999995E-3</v>
      </c>
      <c r="F10" s="183" t="s">
        <v>856</v>
      </c>
      <c r="G10" s="183"/>
      <c r="H10" s="204"/>
      <c r="I10" s="269" t="s">
        <v>1494</v>
      </c>
      <c r="J10" s="206">
        <f>60*12/1000000</f>
        <v>7.2000000000000005E-4</v>
      </c>
      <c r="K10" s="206">
        <v>1.5E-3</v>
      </c>
      <c r="L10" s="204">
        <v>7860</v>
      </c>
      <c r="M10" s="431">
        <v>1</v>
      </c>
      <c r="N10" s="385">
        <f>IF(J10="",D10*M10,D10*J10*K10*L10*M10)</f>
        <v>1.9099800000000004E-2</v>
      </c>
    </row>
    <row r="11" spans="1:14" ht="28.8" x14ac:dyDescent="0.3">
      <c r="A11" s="183">
        <v>20</v>
      </c>
      <c r="B11" s="190" t="s">
        <v>625</v>
      </c>
      <c r="C11" s="183" t="s">
        <v>1209</v>
      </c>
      <c r="D11" s="241">
        <v>10</v>
      </c>
      <c r="E11" s="206">
        <f>60*12/1000000</f>
        <v>7.2000000000000005E-4</v>
      </c>
      <c r="F11" s="183" t="s">
        <v>1210</v>
      </c>
      <c r="G11" s="183"/>
      <c r="H11" s="204"/>
      <c r="I11" s="269" t="s">
        <v>1494</v>
      </c>
      <c r="J11" s="206">
        <f>60*12/1000000</f>
        <v>7.2000000000000005E-4</v>
      </c>
      <c r="K11" s="204"/>
      <c r="L11" s="206"/>
      <c r="M11" s="431">
        <v>1</v>
      </c>
      <c r="N11" s="385">
        <f>D11*E11*M11</f>
        <v>7.2000000000000007E-3</v>
      </c>
    </row>
    <row r="12" spans="1:14" s="432" customFormat="1" x14ac:dyDescent="0.3">
      <c r="M12" s="574" t="s">
        <v>547</v>
      </c>
      <c r="N12" s="588">
        <f>SUM(N10:N11)</f>
        <v>2.6299800000000005E-2</v>
      </c>
    </row>
    <row r="14" spans="1:14" s="432" customFormat="1" x14ac:dyDescent="0.3">
      <c r="A14" s="587" t="s">
        <v>544</v>
      </c>
      <c r="B14" s="587" t="s">
        <v>548</v>
      </c>
      <c r="C14" s="587" t="s">
        <v>549</v>
      </c>
      <c r="D14" s="587" t="s">
        <v>550</v>
      </c>
      <c r="E14" s="587" t="s">
        <v>551</v>
      </c>
      <c r="F14" s="587" t="s">
        <v>28</v>
      </c>
      <c r="G14" s="587" t="s">
        <v>552</v>
      </c>
      <c r="H14" s="587" t="s">
        <v>553</v>
      </c>
      <c r="I14" s="587" t="s">
        <v>547</v>
      </c>
    </row>
    <row r="15" spans="1:14" ht="43.2" x14ac:dyDescent="0.3">
      <c r="A15" s="183">
        <v>10</v>
      </c>
      <c r="B15" s="193" t="s">
        <v>589</v>
      </c>
      <c r="C15" s="193" t="s">
        <v>590</v>
      </c>
      <c r="D15" s="241">
        <v>1.3</v>
      </c>
      <c r="E15" s="183" t="s">
        <v>551</v>
      </c>
      <c r="F15" s="183">
        <v>1</v>
      </c>
      <c r="G15" s="180"/>
      <c r="H15" s="183"/>
      <c r="I15" s="385">
        <f>F15*D15</f>
        <v>1.3</v>
      </c>
    </row>
    <row r="16" spans="1:14" ht="28.8" x14ac:dyDescent="0.3">
      <c r="A16" s="183">
        <v>20</v>
      </c>
      <c r="B16" s="180" t="s">
        <v>591</v>
      </c>
      <c r="C16" s="193" t="s">
        <v>1495</v>
      </c>
      <c r="D16" s="241">
        <v>0.01</v>
      </c>
      <c r="E16" s="183" t="s">
        <v>593</v>
      </c>
      <c r="F16" s="183">
        <v>16</v>
      </c>
      <c r="G16" s="289" t="s">
        <v>598</v>
      </c>
      <c r="H16" s="183">
        <v>3</v>
      </c>
      <c r="I16" s="385">
        <f>D16*F16</f>
        <v>0.16</v>
      </c>
    </row>
    <row r="17" spans="1:9" ht="28.8" x14ac:dyDescent="0.3">
      <c r="A17" s="183">
        <v>30</v>
      </c>
      <c r="B17" s="180" t="s">
        <v>702</v>
      </c>
      <c r="C17" s="414" t="s">
        <v>1496</v>
      </c>
      <c r="D17" s="241">
        <v>0.25</v>
      </c>
      <c r="E17" s="183" t="s">
        <v>704</v>
      </c>
      <c r="F17" s="183">
        <v>1</v>
      </c>
      <c r="G17" s="183"/>
      <c r="H17" s="183"/>
      <c r="I17" s="385">
        <f>D17*F17</f>
        <v>0.25</v>
      </c>
    </row>
    <row r="18" spans="1:9" s="432" customFormat="1" x14ac:dyDescent="0.3">
      <c r="A18" s="183">
        <v>40</v>
      </c>
      <c r="B18" s="474" t="s">
        <v>762</v>
      </c>
      <c r="C18" s="414" t="s">
        <v>1209</v>
      </c>
      <c r="D18" s="241">
        <v>5.25</v>
      </c>
      <c r="E18" s="183" t="s">
        <v>1210</v>
      </c>
      <c r="F18" s="206">
        <f>60*12/1000000</f>
        <v>7.2000000000000005E-4</v>
      </c>
      <c r="G18" s="475"/>
      <c r="H18" s="183"/>
      <c r="I18" s="385">
        <f>F18*D18</f>
        <v>3.7800000000000004E-3</v>
      </c>
    </row>
    <row r="19" spans="1:9" x14ac:dyDescent="0.3">
      <c r="A19" s="432"/>
      <c r="B19" s="432"/>
      <c r="C19" s="432"/>
      <c r="D19" s="432"/>
      <c r="E19" s="432"/>
      <c r="F19" s="432"/>
      <c r="G19" s="432"/>
      <c r="H19" s="574" t="s">
        <v>547</v>
      </c>
      <c r="I19" s="588">
        <f>SUM(I15:I18)</f>
        <v>1.7137799999999999</v>
      </c>
    </row>
  </sheetData>
  <pageMargins left="0.7" right="0.7" top="0.75" bottom="0.75" header="0.3" footer="0.3"/>
  <pageSetup paperSize="9" scale="68" orientation="landscape" r:id="rId1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1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18.5546875" style="311" customWidth="1"/>
    <col min="3" max="3" width="16.8867187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5.44140625" style="311" customWidth="1"/>
    <col min="8" max="8" width="13.88671875" style="311" bestFit="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3.88671875" style="311" bestFit="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586" t="s">
        <v>523</v>
      </c>
      <c r="B1" s="311" t="s">
        <v>524</v>
      </c>
      <c r="J1" s="571" t="s">
        <v>528</v>
      </c>
      <c r="K1" s="163">
        <v>81</v>
      </c>
      <c r="M1" s="586" t="s">
        <v>546</v>
      </c>
      <c r="N1" s="424">
        <f>N12+I19</f>
        <v>1.6695907444444444</v>
      </c>
    </row>
    <row r="2" spans="1:14" x14ac:dyDescent="0.3">
      <c r="A2" s="586" t="s">
        <v>532</v>
      </c>
      <c r="B2" s="311" t="s">
        <v>1486</v>
      </c>
      <c r="D2" s="586" t="s">
        <v>536</v>
      </c>
      <c r="M2" s="586" t="s">
        <v>533</v>
      </c>
      <c r="N2" s="425">
        <v>9</v>
      </c>
    </row>
    <row r="3" spans="1:14" x14ac:dyDescent="0.3">
      <c r="A3" s="586" t="s">
        <v>534</v>
      </c>
      <c r="B3" s="311" t="s">
        <v>1487</v>
      </c>
      <c r="D3" s="586" t="s">
        <v>538</v>
      </c>
      <c r="J3" s="586" t="s">
        <v>536</v>
      </c>
    </row>
    <row r="4" spans="1:14" x14ac:dyDescent="0.3">
      <c r="A4" s="586" t="s">
        <v>545</v>
      </c>
      <c r="B4" s="311" t="s">
        <v>1475</v>
      </c>
      <c r="D4" s="586" t="s">
        <v>541</v>
      </c>
      <c r="J4" s="586" t="s">
        <v>538</v>
      </c>
      <c r="M4" s="586" t="s">
        <v>539</v>
      </c>
      <c r="N4" s="424">
        <f>N1*N2</f>
        <v>15.026316700000001</v>
      </c>
    </row>
    <row r="5" spans="1:14" x14ac:dyDescent="0.3">
      <c r="A5" s="586" t="s">
        <v>537</v>
      </c>
      <c r="B5" s="166" t="s">
        <v>206</v>
      </c>
      <c r="J5" s="586" t="s">
        <v>541</v>
      </c>
    </row>
    <row r="6" spans="1:14" x14ac:dyDescent="0.3">
      <c r="A6" s="586" t="s">
        <v>540</v>
      </c>
      <c r="B6" s="311" t="s">
        <v>36</v>
      </c>
    </row>
    <row r="7" spans="1:14" x14ac:dyDescent="0.3">
      <c r="A7" s="586" t="s">
        <v>542</v>
      </c>
    </row>
    <row r="9" spans="1:14" s="432" customFormat="1" x14ac:dyDescent="0.3">
      <c r="A9" s="587" t="s">
        <v>544</v>
      </c>
      <c r="B9" s="587" t="s">
        <v>581</v>
      </c>
      <c r="C9" s="587" t="s">
        <v>549</v>
      </c>
      <c r="D9" s="587" t="s">
        <v>550</v>
      </c>
      <c r="E9" s="587" t="s">
        <v>567</v>
      </c>
      <c r="F9" s="587" t="s">
        <v>568</v>
      </c>
      <c r="G9" s="587" t="s">
        <v>569</v>
      </c>
      <c r="H9" s="587" t="s">
        <v>570</v>
      </c>
      <c r="I9" s="587" t="s">
        <v>582</v>
      </c>
      <c r="J9" s="587" t="s">
        <v>583</v>
      </c>
      <c r="K9" s="587" t="s">
        <v>584</v>
      </c>
      <c r="L9" s="587" t="s">
        <v>585</v>
      </c>
      <c r="M9" s="587" t="s">
        <v>28</v>
      </c>
      <c r="N9" s="587" t="s">
        <v>547</v>
      </c>
    </row>
    <row r="10" spans="1:14" ht="33.75" customHeight="1" x14ac:dyDescent="0.3">
      <c r="A10" s="183">
        <v>10</v>
      </c>
      <c r="B10" s="451" t="s">
        <v>596</v>
      </c>
      <c r="C10" s="183" t="s">
        <v>1497</v>
      </c>
      <c r="D10" s="241">
        <v>2.25</v>
      </c>
      <c r="E10" s="459">
        <f>J10*K10*L10</f>
        <v>1.5562800000000002E-2</v>
      </c>
      <c r="F10" s="183" t="s">
        <v>856</v>
      </c>
      <c r="G10" s="183"/>
      <c r="H10" s="204"/>
      <c r="I10" s="269" t="s">
        <v>1498</v>
      </c>
      <c r="J10" s="206">
        <f>110*12/1000000</f>
        <v>1.32E-3</v>
      </c>
      <c r="K10" s="206">
        <v>1.5E-3</v>
      </c>
      <c r="L10" s="204">
        <v>7860</v>
      </c>
      <c r="M10" s="431">
        <v>1</v>
      </c>
      <c r="N10" s="385">
        <f>IF(J10="",D10*M10,D10*J10*K10*L10*M10)</f>
        <v>3.50163E-2</v>
      </c>
    </row>
    <row r="11" spans="1:14" ht="32.25" customHeight="1" x14ac:dyDescent="0.3">
      <c r="A11" s="183">
        <v>20</v>
      </c>
      <c r="B11" s="190" t="s">
        <v>625</v>
      </c>
      <c r="C11" s="183" t="s">
        <v>1209</v>
      </c>
      <c r="D11" s="241">
        <v>10</v>
      </c>
      <c r="E11" s="206">
        <f>110*12/1000000</f>
        <v>1.32E-3</v>
      </c>
      <c r="F11" s="183" t="s">
        <v>1210</v>
      </c>
      <c r="G11" s="183"/>
      <c r="H11" s="204"/>
      <c r="I11" s="269" t="s">
        <v>1498</v>
      </c>
      <c r="J11" s="206">
        <f>110*12/1000000</f>
        <v>1.32E-3</v>
      </c>
      <c r="K11" s="204"/>
      <c r="L11" s="206"/>
      <c r="M11" s="431">
        <v>1</v>
      </c>
      <c r="N11" s="385">
        <f>D11*E11*M11</f>
        <v>1.32E-2</v>
      </c>
    </row>
    <row r="12" spans="1:14" s="432" customFormat="1" x14ac:dyDescent="0.3">
      <c r="M12" s="574" t="s">
        <v>547</v>
      </c>
      <c r="N12" s="588">
        <f>SUM(N10:N11)</f>
        <v>4.8216300000000004E-2</v>
      </c>
    </row>
    <row r="14" spans="1:14" s="432" customFormat="1" x14ac:dyDescent="0.3">
      <c r="A14" s="587" t="s">
        <v>544</v>
      </c>
      <c r="B14" s="587" t="s">
        <v>548</v>
      </c>
      <c r="C14" s="587" t="s">
        <v>549</v>
      </c>
      <c r="D14" s="587" t="s">
        <v>550</v>
      </c>
      <c r="E14" s="587" t="s">
        <v>551</v>
      </c>
      <c r="F14" s="587" t="s">
        <v>28</v>
      </c>
      <c r="G14" s="587" t="s">
        <v>552</v>
      </c>
      <c r="H14" s="587" t="s">
        <v>553</v>
      </c>
      <c r="I14" s="587" t="s">
        <v>547</v>
      </c>
    </row>
    <row r="15" spans="1:14" ht="43.2" x14ac:dyDescent="0.3">
      <c r="A15" s="183">
        <v>10</v>
      </c>
      <c r="B15" s="193" t="s">
        <v>589</v>
      </c>
      <c r="C15" s="193" t="s">
        <v>590</v>
      </c>
      <c r="D15" s="241">
        <v>1.3</v>
      </c>
      <c r="E15" s="183" t="s">
        <v>551</v>
      </c>
      <c r="F15" s="183">
        <v>1</v>
      </c>
      <c r="G15" s="590" t="s">
        <v>1506</v>
      </c>
      <c r="H15" s="459">
        <f>1/9</f>
        <v>0.1111111111111111</v>
      </c>
      <c r="I15" s="385">
        <f>F15*D15*H15</f>
        <v>0.14444444444444443</v>
      </c>
    </row>
    <row r="16" spans="1:14" x14ac:dyDescent="0.3">
      <c r="A16" s="183">
        <v>20</v>
      </c>
      <c r="B16" s="180" t="s">
        <v>591</v>
      </c>
      <c r="C16" s="193" t="s">
        <v>1213</v>
      </c>
      <c r="D16" s="241">
        <v>0.01</v>
      </c>
      <c r="E16" s="183" t="s">
        <v>593</v>
      </c>
      <c r="F16" s="183">
        <v>24</v>
      </c>
      <c r="G16" s="289" t="s">
        <v>598</v>
      </c>
      <c r="H16" s="183">
        <v>3</v>
      </c>
      <c r="I16" s="385">
        <f>D16*F16*H16</f>
        <v>0.72</v>
      </c>
    </row>
    <row r="17" spans="1:9" x14ac:dyDescent="0.3">
      <c r="A17" s="183">
        <v>30</v>
      </c>
      <c r="B17" s="180" t="s">
        <v>702</v>
      </c>
      <c r="C17" s="414" t="s">
        <v>1499</v>
      </c>
      <c r="D17" s="241">
        <v>0.25</v>
      </c>
      <c r="E17" s="183" t="s">
        <v>704</v>
      </c>
      <c r="F17" s="183">
        <v>3</v>
      </c>
      <c r="G17" s="183"/>
      <c r="H17" s="183"/>
      <c r="I17" s="385">
        <f>D17*F17</f>
        <v>0.75</v>
      </c>
    </row>
    <row r="18" spans="1:9" s="432" customFormat="1" x14ac:dyDescent="0.3">
      <c r="A18" s="183">
        <v>40</v>
      </c>
      <c r="B18" s="474" t="s">
        <v>762</v>
      </c>
      <c r="C18" s="414" t="s">
        <v>1209</v>
      </c>
      <c r="D18" s="241">
        <v>5.25</v>
      </c>
      <c r="E18" s="183" t="s">
        <v>1210</v>
      </c>
      <c r="F18" s="206">
        <f>110*12/1000000</f>
        <v>1.32E-3</v>
      </c>
      <c r="G18" s="475"/>
      <c r="H18" s="183"/>
      <c r="I18" s="385">
        <f>F18*D18</f>
        <v>6.9300000000000004E-3</v>
      </c>
    </row>
    <row r="19" spans="1:9" x14ac:dyDescent="0.3">
      <c r="A19" s="432"/>
      <c r="B19" s="432"/>
      <c r="C19" s="432"/>
      <c r="D19" s="432"/>
      <c r="E19" s="432"/>
      <c r="F19" s="432"/>
      <c r="G19" s="432"/>
      <c r="H19" s="574" t="s">
        <v>547</v>
      </c>
      <c r="I19" s="588">
        <f>SUM(I15:I18)</f>
        <v>1.6213744444444445</v>
      </c>
    </row>
    <row r="21" spans="1:9" x14ac:dyDescent="0.3">
      <c r="H21" s="326"/>
      <c r="I21" s="447"/>
    </row>
  </sheetData>
  <pageMargins left="0.7" right="0.7" top="0.75" bottom="0.75" header="0.3" footer="0.3"/>
  <pageSetup paperSize="9" scale="65" orientation="landscape" r:id="rId1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1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14.44140625" style="311" customWidth="1"/>
    <col min="3" max="3" width="16.8867187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7.21875" style="311" customWidth="1"/>
    <col min="8" max="8" width="13.88671875" style="311" bestFit="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3.88671875" style="311" bestFit="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586" t="s">
        <v>523</v>
      </c>
      <c r="B1" s="311" t="s">
        <v>524</v>
      </c>
      <c r="J1" s="571" t="s">
        <v>528</v>
      </c>
      <c r="K1" s="163">
        <v>81</v>
      </c>
      <c r="M1" s="586" t="s">
        <v>546</v>
      </c>
      <c r="N1" s="424">
        <f>N12+I19</f>
        <v>0.73838653333333326</v>
      </c>
    </row>
    <row r="2" spans="1:14" x14ac:dyDescent="0.3">
      <c r="A2" s="586" t="s">
        <v>532</v>
      </c>
      <c r="B2" s="311" t="s">
        <v>1486</v>
      </c>
      <c r="D2" s="586" t="s">
        <v>536</v>
      </c>
      <c r="M2" s="586" t="s">
        <v>533</v>
      </c>
      <c r="N2" s="425">
        <v>12</v>
      </c>
    </row>
    <row r="3" spans="1:14" x14ac:dyDescent="0.3">
      <c r="A3" s="586" t="s">
        <v>534</v>
      </c>
      <c r="B3" s="311" t="s">
        <v>1487</v>
      </c>
      <c r="D3" s="586" t="s">
        <v>538</v>
      </c>
      <c r="J3" s="586" t="s">
        <v>536</v>
      </c>
    </row>
    <row r="4" spans="1:14" x14ac:dyDescent="0.3">
      <c r="A4" s="586" t="s">
        <v>545</v>
      </c>
      <c r="B4" s="311" t="s">
        <v>1476</v>
      </c>
      <c r="D4" s="586" t="s">
        <v>541</v>
      </c>
      <c r="J4" s="586" t="s">
        <v>538</v>
      </c>
      <c r="M4" s="586" t="s">
        <v>539</v>
      </c>
      <c r="N4" s="424">
        <f>N1*N2</f>
        <v>8.8606383999999991</v>
      </c>
    </row>
    <row r="5" spans="1:14" x14ac:dyDescent="0.3">
      <c r="A5" s="586" t="s">
        <v>537</v>
      </c>
      <c r="B5" s="166" t="s">
        <v>207</v>
      </c>
      <c r="J5" s="586" t="s">
        <v>541</v>
      </c>
    </row>
    <row r="6" spans="1:14" x14ac:dyDescent="0.3">
      <c r="A6" s="586" t="s">
        <v>540</v>
      </c>
      <c r="B6" s="311" t="s">
        <v>36</v>
      </c>
    </row>
    <row r="7" spans="1:14" x14ac:dyDescent="0.3">
      <c r="A7" s="586" t="s">
        <v>542</v>
      </c>
    </row>
    <row r="9" spans="1:14" s="432" customFormat="1" x14ac:dyDescent="0.3">
      <c r="A9" s="587" t="s">
        <v>544</v>
      </c>
      <c r="B9" s="587" t="s">
        <v>581</v>
      </c>
      <c r="C9" s="587" t="s">
        <v>549</v>
      </c>
      <c r="D9" s="587" t="s">
        <v>550</v>
      </c>
      <c r="E9" s="587" t="s">
        <v>567</v>
      </c>
      <c r="F9" s="587" t="s">
        <v>568</v>
      </c>
      <c r="G9" s="587" t="s">
        <v>569</v>
      </c>
      <c r="H9" s="587" t="s">
        <v>570</v>
      </c>
      <c r="I9" s="587" t="s">
        <v>582</v>
      </c>
      <c r="J9" s="587" t="s">
        <v>583</v>
      </c>
      <c r="K9" s="587" t="s">
        <v>584</v>
      </c>
      <c r="L9" s="587" t="s">
        <v>585</v>
      </c>
      <c r="M9" s="587" t="s">
        <v>28</v>
      </c>
      <c r="N9" s="587" t="s">
        <v>547</v>
      </c>
    </row>
    <row r="10" spans="1:14" ht="28.8" x14ac:dyDescent="0.3">
      <c r="A10" s="183">
        <v>10</v>
      </c>
      <c r="B10" s="451" t="s">
        <v>596</v>
      </c>
      <c r="C10" s="183" t="s">
        <v>319</v>
      </c>
      <c r="D10" s="241">
        <v>2.25</v>
      </c>
      <c r="E10" s="459">
        <f>J10*K10*L10</f>
        <v>5.6591999999999996E-3</v>
      </c>
      <c r="F10" s="183" t="s">
        <v>856</v>
      </c>
      <c r="G10" s="183"/>
      <c r="H10" s="204"/>
      <c r="I10" s="269" t="s">
        <v>1500</v>
      </c>
      <c r="J10" s="206">
        <f>40*12/1000000</f>
        <v>4.8000000000000001E-4</v>
      </c>
      <c r="K10" s="206">
        <v>1.5E-3</v>
      </c>
      <c r="L10" s="204">
        <v>7860</v>
      </c>
      <c r="M10" s="431">
        <v>1</v>
      </c>
      <c r="N10" s="385">
        <f>IF(J10="",D10*M10,D10*J10*K10*L10*M10)</f>
        <v>1.2733200000000002E-2</v>
      </c>
    </row>
    <row r="11" spans="1:14" ht="28.8" x14ac:dyDescent="0.3">
      <c r="A11" s="183">
        <v>20</v>
      </c>
      <c r="B11" s="190" t="s">
        <v>625</v>
      </c>
      <c r="C11" s="183" t="s">
        <v>1209</v>
      </c>
      <c r="D11" s="241">
        <v>10</v>
      </c>
      <c r="E11" s="206">
        <f>40*12/1000000</f>
        <v>4.8000000000000001E-4</v>
      </c>
      <c r="F11" s="183" t="s">
        <v>1210</v>
      </c>
      <c r="G11" s="183"/>
      <c r="H11" s="204"/>
      <c r="I11" s="269" t="s">
        <v>1500</v>
      </c>
      <c r="J11" s="206">
        <f>40*12/1000000</f>
        <v>4.8000000000000001E-4</v>
      </c>
      <c r="K11" s="204"/>
      <c r="L11" s="206"/>
      <c r="M11" s="431">
        <v>1</v>
      </c>
      <c r="N11" s="385">
        <f>D11*E11*M11</f>
        <v>4.8000000000000004E-3</v>
      </c>
    </row>
    <row r="12" spans="1:14" s="432" customFormat="1" x14ac:dyDescent="0.3">
      <c r="M12" s="574" t="s">
        <v>547</v>
      </c>
      <c r="N12" s="588">
        <f>SUM(N10:N11)</f>
        <v>1.7533200000000002E-2</v>
      </c>
    </row>
    <row r="14" spans="1:14" s="432" customFormat="1" x14ac:dyDescent="0.3">
      <c r="A14" s="587" t="s">
        <v>544</v>
      </c>
      <c r="B14" s="587" t="s">
        <v>548</v>
      </c>
      <c r="C14" s="587" t="s">
        <v>549</v>
      </c>
      <c r="D14" s="587" t="s">
        <v>550</v>
      </c>
      <c r="E14" s="587" t="s">
        <v>551</v>
      </c>
      <c r="F14" s="587" t="s">
        <v>28</v>
      </c>
      <c r="G14" s="587" t="s">
        <v>552</v>
      </c>
      <c r="H14" s="587" t="s">
        <v>553</v>
      </c>
      <c r="I14" s="587" t="s">
        <v>547</v>
      </c>
    </row>
    <row r="15" spans="1:14" s="248" customFormat="1" ht="43.2" x14ac:dyDescent="0.3">
      <c r="A15" s="184">
        <v>10</v>
      </c>
      <c r="B15" s="193" t="s">
        <v>589</v>
      </c>
      <c r="C15" s="193" t="s">
        <v>590</v>
      </c>
      <c r="D15" s="362">
        <v>1.3</v>
      </c>
      <c r="E15" s="184" t="s">
        <v>551</v>
      </c>
      <c r="F15" s="184">
        <v>1</v>
      </c>
      <c r="G15" s="180" t="s">
        <v>1507</v>
      </c>
      <c r="H15" s="591">
        <f>1/12</f>
        <v>8.3333333333333329E-2</v>
      </c>
      <c r="I15" s="363">
        <f>F15*D15*H15</f>
        <v>0.10833333333333334</v>
      </c>
    </row>
    <row r="16" spans="1:14" x14ac:dyDescent="0.3">
      <c r="A16" s="183">
        <v>20</v>
      </c>
      <c r="B16" s="180" t="s">
        <v>591</v>
      </c>
      <c r="C16" s="193" t="s">
        <v>1213</v>
      </c>
      <c r="D16" s="241">
        <v>0.01</v>
      </c>
      <c r="E16" s="183" t="s">
        <v>593</v>
      </c>
      <c r="F16" s="183">
        <v>12</v>
      </c>
      <c r="G16" s="289" t="s">
        <v>598</v>
      </c>
      <c r="H16" s="183">
        <v>3</v>
      </c>
      <c r="I16" s="385">
        <f>D16*F16*H16</f>
        <v>0.36</v>
      </c>
    </row>
    <row r="17" spans="1:9" ht="28.8" x14ac:dyDescent="0.3">
      <c r="A17" s="183">
        <v>30</v>
      </c>
      <c r="B17" s="180" t="s">
        <v>702</v>
      </c>
      <c r="C17" s="414" t="s">
        <v>1499</v>
      </c>
      <c r="D17" s="241">
        <v>0.25</v>
      </c>
      <c r="E17" s="183" t="s">
        <v>704</v>
      </c>
      <c r="F17" s="183">
        <v>1</v>
      </c>
      <c r="G17" s="183"/>
      <c r="H17" s="183"/>
      <c r="I17" s="385">
        <f>D17*F17</f>
        <v>0.25</v>
      </c>
    </row>
    <row r="18" spans="1:9" s="432" customFormat="1" x14ac:dyDescent="0.3">
      <c r="A18" s="183">
        <v>40</v>
      </c>
      <c r="B18" s="474" t="s">
        <v>762</v>
      </c>
      <c r="C18" s="414" t="s">
        <v>1209</v>
      </c>
      <c r="D18" s="241">
        <v>5.25</v>
      </c>
      <c r="E18" s="183" t="s">
        <v>1210</v>
      </c>
      <c r="F18" s="206">
        <f>40*12/1000000</f>
        <v>4.8000000000000001E-4</v>
      </c>
      <c r="G18" s="475"/>
      <c r="H18" s="183"/>
      <c r="I18" s="385">
        <f>F18*D18</f>
        <v>2.5200000000000001E-3</v>
      </c>
    </row>
    <row r="19" spans="1:9" x14ac:dyDescent="0.3">
      <c r="A19" s="432"/>
      <c r="B19" s="432"/>
      <c r="C19" s="432"/>
      <c r="D19" s="432"/>
      <c r="E19" s="432"/>
      <c r="F19" s="432"/>
      <c r="G19" s="432"/>
      <c r="H19" s="574" t="s">
        <v>547</v>
      </c>
      <c r="I19" s="588">
        <f>SUM(I15:I18)</f>
        <v>0.72085333333333323</v>
      </c>
    </row>
    <row r="21" spans="1:9" x14ac:dyDescent="0.3">
      <c r="H21" s="326"/>
      <c r="I21" s="447"/>
    </row>
  </sheetData>
  <pageMargins left="0.7" right="0.7" top="0.75" bottom="0.75" header="0.3" footer="0.3"/>
  <pageSetup paperSize="9" scale="66" orientation="landscape" r:id="rId1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9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14.44140625" style="311" customWidth="1"/>
    <col min="3" max="3" width="16.8867187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9.21875" style="311" customWidth="1"/>
    <col min="8" max="8" width="13.88671875" style="311" bestFit="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3.88671875" style="311" bestFit="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586" t="s">
        <v>523</v>
      </c>
      <c r="B1" s="311" t="s">
        <v>524</v>
      </c>
      <c r="J1" s="571" t="s">
        <v>528</v>
      </c>
      <c r="K1" s="163">
        <v>81</v>
      </c>
      <c r="M1" s="586" t="s">
        <v>546</v>
      </c>
      <c r="N1" s="424">
        <f>N12+I19</f>
        <v>2.4226662499999998</v>
      </c>
    </row>
    <row r="2" spans="1:14" x14ac:dyDescent="0.3">
      <c r="A2" s="586" t="s">
        <v>532</v>
      </c>
      <c r="B2" s="311" t="s">
        <v>1486</v>
      </c>
      <c r="D2" s="586" t="s">
        <v>536</v>
      </c>
      <c r="M2" s="586" t="s">
        <v>533</v>
      </c>
      <c r="N2" s="425">
        <v>2</v>
      </c>
    </row>
    <row r="3" spans="1:14" x14ac:dyDescent="0.3">
      <c r="A3" s="586" t="s">
        <v>534</v>
      </c>
      <c r="B3" s="311" t="s">
        <v>1487</v>
      </c>
      <c r="D3" s="586" t="s">
        <v>538</v>
      </c>
      <c r="J3" s="586" t="s">
        <v>536</v>
      </c>
    </row>
    <row r="4" spans="1:14" x14ac:dyDescent="0.3">
      <c r="A4" s="586" t="s">
        <v>545</v>
      </c>
      <c r="B4" s="311" t="s">
        <v>1477</v>
      </c>
      <c r="D4" s="586" t="s">
        <v>541</v>
      </c>
      <c r="J4" s="586" t="s">
        <v>538</v>
      </c>
      <c r="M4" s="586" t="s">
        <v>539</v>
      </c>
      <c r="N4" s="424">
        <f>N1*N2</f>
        <v>4.8453324999999996</v>
      </c>
    </row>
    <row r="5" spans="1:14" x14ac:dyDescent="0.3">
      <c r="A5" s="586" t="s">
        <v>537</v>
      </c>
      <c r="B5" s="166" t="s">
        <v>208</v>
      </c>
      <c r="J5" s="586" t="s">
        <v>541</v>
      </c>
    </row>
    <row r="6" spans="1:14" x14ac:dyDescent="0.3">
      <c r="A6" s="586" t="s">
        <v>540</v>
      </c>
      <c r="B6" s="311" t="s">
        <v>36</v>
      </c>
    </row>
    <row r="7" spans="1:14" x14ac:dyDescent="0.3">
      <c r="A7" s="586" t="s">
        <v>542</v>
      </c>
    </row>
    <row r="9" spans="1:14" s="432" customFormat="1" x14ac:dyDescent="0.3">
      <c r="A9" s="587" t="s">
        <v>544</v>
      </c>
      <c r="B9" s="587" t="s">
        <v>581</v>
      </c>
      <c r="C9" s="587" t="s">
        <v>549</v>
      </c>
      <c r="D9" s="587" t="s">
        <v>550</v>
      </c>
      <c r="E9" s="587" t="s">
        <v>567</v>
      </c>
      <c r="F9" s="587" t="s">
        <v>568</v>
      </c>
      <c r="G9" s="587" t="s">
        <v>569</v>
      </c>
      <c r="H9" s="587" t="s">
        <v>570</v>
      </c>
      <c r="I9" s="587" t="s">
        <v>582</v>
      </c>
      <c r="J9" s="587" t="s">
        <v>583</v>
      </c>
      <c r="K9" s="587" t="s">
        <v>584</v>
      </c>
      <c r="L9" s="587" t="s">
        <v>585</v>
      </c>
      <c r="M9" s="587" t="s">
        <v>28</v>
      </c>
      <c r="N9" s="587" t="s">
        <v>547</v>
      </c>
    </row>
    <row r="10" spans="1:14" ht="28.8" x14ac:dyDescent="0.3">
      <c r="A10" s="183">
        <v>10</v>
      </c>
      <c r="B10" s="451" t="s">
        <v>596</v>
      </c>
      <c r="C10" s="183" t="s">
        <v>1501</v>
      </c>
      <c r="D10" s="241">
        <v>2.25</v>
      </c>
      <c r="E10" s="459">
        <f>J10*K10*L10</f>
        <v>1.7684999999999999E-2</v>
      </c>
      <c r="F10" s="183" t="s">
        <v>856</v>
      </c>
      <c r="G10" s="183"/>
      <c r="H10" s="204"/>
      <c r="I10" s="269" t="s">
        <v>1502</v>
      </c>
      <c r="J10" s="206">
        <f>125*12/1000000</f>
        <v>1.5E-3</v>
      </c>
      <c r="K10" s="206">
        <v>1.5E-3</v>
      </c>
      <c r="L10" s="204">
        <v>7860</v>
      </c>
      <c r="M10" s="431">
        <v>1</v>
      </c>
      <c r="N10" s="385">
        <f>IF(J10="",D10*M10,D10*J10*K10*L10*M10)</f>
        <v>3.979125E-2</v>
      </c>
    </row>
    <row r="11" spans="1:14" ht="28.8" x14ac:dyDescent="0.3">
      <c r="A11" s="183">
        <v>20</v>
      </c>
      <c r="B11" s="190" t="s">
        <v>625</v>
      </c>
      <c r="C11" s="183" t="s">
        <v>1209</v>
      </c>
      <c r="D11" s="241">
        <v>10</v>
      </c>
      <c r="E11" s="206">
        <f>125*12/1000000</f>
        <v>1.5E-3</v>
      </c>
      <c r="F11" s="183" t="s">
        <v>1210</v>
      </c>
      <c r="G11" s="183"/>
      <c r="H11" s="204"/>
      <c r="I11" s="269" t="s">
        <v>1502</v>
      </c>
      <c r="J11" s="206">
        <f>125*12/1000000</f>
        <v>1.5E-3</v>
      </c>
      <c r="K11" s="204"/>
      <c r="L11" s="206"/>
      <c r="M11" s="431">
        <v>1</v>
      </c>
      <c r="N11" s="385">
        <f>D11*E11*M11</f>
        <v>1.4999999999999999E-2</v>
      </c>
    </row>
    <row r="12" spans="1:14" s="432" customFormat="1" x14ac:dyDescent="0.3">
      <c r="M12" s="574" t="s">
        <v>547</v>
      </c>
      <c r="N12" s="589">
        <f>SUM(N10:N11)</f>
        <v>5.479125E-2</v>
      </c>
    </row>
    <row r="14" spans="1:14" s="432" customFormat="1" x14ac:dyDescent="0.3">
      <c r="A14" s="587" t="s">
        <v>544</v>
      </c>
      <c r="B14" s="587" t="s">
        <v>548</v>
      </c>
      <c r="C14" s="587" t="s">
        <v>549</v>
      </c>
      <c r="D14" s="587" t="s">
        <v>550</v>
      </c>
      <c r="E14" s="587" t="s">
        <v>551</v>
      </c>
      <c r="F14" s="587" t="s">
        <v>28</v>
      </c>
      <c r="G14" s="587" t="s">
        <v>552</v>
      </c>
      <c r="H14" s="587" t="s">
        <v>553</v>
      </c>
      <c r="I14" s="587" t="s">
        <v>547</v>
      </c>
    </row>
    <row r="15" spans="1:14" ht="43.2" x14ac:dyDescent="0.3">
      <c r="A15" s="183">
        <v>10</v>
      </c>
      <c r="B15" s="193" t="s">
        <v>589</v>
      </c>
      <c r="C15" s="193" t="s">
        <v>590</v>
      </c>
      <c r="D15" s="241">
        <v>1.3</v>
      </c>
      <c r="E15" s="183" t="s">
        <v>551</v>
      </c>
      <c r="F15" s="183">
        <v>1</v>
      </c>
      <c r="G15" s="180" t="s">
        <v>1508</v>
      </c>
      <c r="H15" s="183">
        <v>0.5</v>
      </c>
      <c r="I15" s="385">
        <f>F15*D15*H15</f>
        <v>0.65</v>
      </c>
    </row>
    <row r="16" spans="1:14" x14ac:dyDescent="0.3">
      <c r="A16" s="183">
        <v>20</v>
      </c>
      <c r="B16" s="180" t="s">
        <v>591</v>
      </c>
      <c r="C16" s="193" t="s">
        <v>1213</v>
      </c>
      <c r="D16" s="241">
        <v>0.01</v>
      </c>
      <c r="E16" s="183" t="s">
        <v>593</v>
      </c>
      <c r="F16" s="183">
        <v>32</v>
      </c>
      <c r="G16" s="289" t="s">
        <v>598</v>
      </c>
      <c r="H16" s="183">
        <v>3</v>
      </c>
      <c r="I16" s="385">
        <f>D16*F16*H16</f>
        <v>0.96</v>
      </c>
    </row>
    <row r="17" spans="1:9" ht="28.8" x14ac:dyDescent="0.3">
      <c r="A17" s="183">
        <v>30</v>
      </c>
      <c r="B17" s="180" t="s">
        <v>702</v>
      </c>
      <c r="C17" s="414" t="s">
        <v>1503</v>
      </c>
      <c r="D17" s="241">
        <v>0.25</v>
      </c>
      <c r="E17" s="183" t="s">
        <v>704</v>
      </c>
      <c r="F17" s="183">
        <v>3</v>
      </c>
      <c r="G17" s="183"/>
      <c r="H17" s="183"/>
      <c r="I17" s="385">
        <f>D17*F17</f>
        <v>0.75</v>
      </c>
    </row>
    <row r="18" spans="1:9" s="432" customFormat="1" x14ac:dyDescent="0.3">
      <c r="A18" s="183">
        <v>40</v>
      </c>
      <c r="B18" s="474" t="s">
        <v>762</v>
      </c>
      <c r="C18" s="414" t="s">
        <v>1209</v>
      </c>
      <c r="D18" s="241">
        <v>5.25</v>
      </c>
      <c r="E18" s="183" t="s">
        <v>1210</v>
      </c>
      <c r="F18" s="206">
        <f>125*12/1000000</f>
        <v>1.5E-3</v>
      </c>
      <c r="G18" s="475"/>
      <c r="H18" s="183"/>
      <c r="I18" s="385">
        <f>F18*D18</f>
        <v>7.8750000000000001E-3</v>
      </c>
    </row>
    <row r="19" spans="1:9" x14ac:dyDescent="0.3">
      <c r="A19" s="432"/>
      <c r="B19" s="432"/>
      <c r="C19" s="432"/>
      <c r="D19" s="432"/>
      <c r="E19" s="432"/>
      <c r="F19" s="432"/>
      <c r="G19" s="432"/>
      <c r="H19" s="574" t="s">
        <v>547</v>
      </c>
      <c r="I19" s="588">
        <f>SUM(I15:I18)</f>
        <v>2.3678749999999997</v>
      </c>
    </row>
  </sheetData>
  <pageMargins left="0.7" right="0.7" top="0.75" bottom="0.75" header="0.3" footer="0.3"/>
  <pageSetup paperSize="9" scale="65" orientation="landscape" r:id="rId1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1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14.44140625" style="311" customWidth="1"/>
    <col min="3" max="3" width="16.8867187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20" style="311" customWidth="1"/>
    <col min="8" max="8" width="14.6640625" style="31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3.88671875" style="311" bestFit="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586" t="s">
        <v>523</v>
      </c>
      <c r="B1" s="311" t="s">
        <v>524</v>
      </c>
      <c r="J1" s="571" t="s">
        <v>528</v>
      </c>
      <c r="K1" s="163">
        <v>81</v>
      </c>
      <c r="M1" s="586" t="s">
        <v>546</v>
      </c>
      <c r="N1" s="424">
        <f>N12+I19</f>
        <v>0.85073050666666672</v>
      </c>
    </row>
    <row r="2" spans="1:14" x14ac:dyDescent="0.3">
      <c r="A2" s="586" t="s">
        <v>532</v>
      </c>
      <c r="B2" s="311" t="s">
        <v>1486</v>
      </c>
      <c r="D2" s="586" t="s">
        <v>536</v>
      </c>
      <c r="M2" s="586" t="s">
        <v>533</v>
      </c>
      <c r="N2" s="425">
        <v>6</v>
      </c>
    </row>
    <row r="3" spans="1:14" x14ac:dyDescent="0.3">
      <c r="A3" s="586" t="s">
        <v>534</v>
      </c>
      <c r="B3" s="311" t="s">
        <v>1487</v>
      </c>
      <c r="D3" s="586" t="s">
        <v>538</v>
      </c>
      <c r="J3" s="586" t="s">
        <v>536</v>
      </c>
    </row>
    <row r="4" spans="1:14" x14ac:dyDescent="0.3">
      <c r="A4" s="586" t="s">
        <v>545</v>
      </c>
      <c r="B4" s="311" t="s">
        <v>1478</v>
      </c>
      <c r="D4" s="586" t="s">
        <v>541</v>
      </c>
      <c r="J4" s="586" t="s">
        <v>538</v>
      </c>
      <c r="M4" s="586" t="s">
        <v>539</v>
      </c>
      <c r="N4" s="424">
        <f>N1*N2</f>
        <v>5.1043830400000001</v>
      </c>
    </row>
    <row r="5" spans="1:14" x14ac:dyDescent="0.3">
      <c r="A5" s="586" t="s">
        <v>537</v>
      </c>
      <c r="B5" s="166" t="s">
        <v>209</v>
      </c>
      <c r="J5" s="586" t="s">
        <v>541</v>
      </c>
    </row>
    <row r="6" spans="1:14" x14ac:dyDescent="0.3">
      <c r="A6" s="586" t="s">
        <v>540</v>
      </c>
      <c r="B6" s="311" t="s">
        <v>36</v>
      </c>
    </row>
    <row r="7" spans="1:14" x14ac:dyDescent="0.3">
      <c r="A7" s="586" t="s">
        <v>542</v>
      </c>
    </row>
    <row r="9" spans="1:14" s="432" customFormat="1" x14ac:dyDescent="0.3">
      <c r="A9" s="587" t="s">
        <v>544</v>
      </c>
      <c r="B9" s="587" t="s">
        <v>581</v>
      </c>
      <c r="C9" s="587" t="s">
        <v>549</v>
      </c>
      <c r="D9" s="587" t="s">
        <v>550</v>
      </c>
      <c r="E9" s="587" t="s">
        <v>567</v>
      </c>
      <c r="F9" s="587" t="s">
        <v>568</v>
      </c>
      <c r="G9" s="587" t="s">
        <v>569</v>
      </c>
      <c r="H9" s="587" t="s">
        <v>570</v>
      </c>
      <c r="I9" s="587" t="s">
        <v>582</v>
      </c>
      <c r="J9" s="587" t="s">
        <v>583</v>
      </c>
      <c r="K9" s="587" t="s">
        <v>584</v>
      </c>
      <c r="L9" s="587" t="s">
        <v>585</v>
      </c>
      <c r="M9" s="587" t="s">
        <v>28</v>
      </c>
      <c r="N9" s="587" t="s">
        <v>547</v>
      </c>
    </row>
    <row r="10" spans="1:14" ht="28.8" x14ac:dyDescent="0.3">
      <c r="A10" s="183">
        <v>10</v>
      </c>
      <c r="B10" s="190" t="s">
        <v>596</v>
      </c>
      <c r="C10" s="183" t="s">
        <v>1504</v>
      </c>
      <c r="D10" s="241">
        <v>2.25</v>
      </c>
      <c r="E10" s="459">
        <f>J10*K10*L10</f>
        <v>6.7910399999999999E-3</v>
      </c>
      <c r="F10" s="183" t="s">
        <v>856</v>
      </c>
      <c r="G10" s="183"/>
      <c r="H10" s="204"/>
      <c r="I10" s="269" t="s">
        <v>1505</v>
      </c>
      <c r="J10" s="206">
        <f>48*12/1000000</f>
        <v>5.7600000000000001E-4</v>
      </c>
      <c r="K10" s="206">
        <v>1.5E-3</v>
      </c>
      <c r="L10" s="204">
        <v>7860</v>
      </c>
      <c r="M10" s="431">
        <v>1</v>
      </c>
      <c r="N10" s="385">
        <f>IF(J10="",D10*M10,D10*J10*K10*L10*M10)</f>
        <v>1.5279839999999999E-2</v>
      </c>
    </row>
    <row r="11" spans="1:14" s="432" customFormat="1" ht="28.8" x14ac:dyDescent="0.3">
      <c r="A11" s="183">
        <v>20</v>
      </c>
      <c r="B11" s="190" t="s">
        <v>625</v>
      </c>
      <c r="C11" s="183" t="s">
        <v>1209</v>
      </c>
      <c r="D11" s="241">
        <v>10</v>
      </c>
      <c r="E11" s="206">
        <f>48*12/1000000</f>
        <v>5.7600000000000001E-4</v>
      </c>
      <c r="F11" s="183" t="s">
        <v>1210</v>
      </c>
      <c r="G11" s="183"/>
      <c r="H11" s="204"/>
      <c r="I11" s="419" t="s">
        <v>1505</v>
      </c>
      <c r="J11" s="206">
        <f>48*12/1000000</f>
        <v>5.7600000000000001E-4</v>
      </c>
      <c r="K11" s="204"/>
      <c r="L11" s="206"/>
      <c r="M11" s="431">
        <v>1</v>
      </c>
      <c r="N11" s="385">
        <f>D11*E11*M11</f>
        <v>5.7600000000000004E-3</v>
      </c>
    </row>
    <row r="12" spans="1:14" x14ac:dyDescent="0.3">
      <c r="A12" s="432"/>
      <c r="B12" s="432"/>
      <c r="C12" s="432"/>
      <c r="D12" s="432"/>
      <c r="E12" s="432"/>
      <c r="F12" s="432"/>
      <c r="G12" s="432"/>
      <c r="H12" s="432"/>
      <c r="I12" s="432"/>
      <c r="J12" s="432"/>
      <c r="K12" s="432"/>
      <c r="L12" s="432"/>
      <c r="M12" s="574" t="s">
        <v>547</v>
      </c>
      <c r="N12" s="589">
        <f>SUM(N10:N11)</f>
        <v>2.1039840000000001E-2</v>
      </c>
    </row>
    <row r="13" spans="1:14" s="432" customFormat="1" x14ac:dyDescent="0.3">
      <c r="A13" s="311"/>
      <c r="B13" s="311"/>
      <c r="C13" s="311"/>
      <c r="D13" s="311"/>
      <c r="E13" s="311"/>
      <c r="F13" s="311"/>
      <c r="G13" s="311"/>
      <c r="H13" s="311"/>
      <c r="I13" s="311"/>
      <c r="J13" s="311"/>
      <c r="K13" s="311"/>
      <c r="L13" s="311"/>
      <c r="M13" s="311"/>
      <c r="N13" s="311"/>
    </row>
    <row r="14" spans="1:14" x14ac:dyDescent="0.3">
      <c r="A14" s="587" t="s">
        <v>544</v>
      </c>
      <c r="B14" s="587" t="s">
        <v>548</v>
      </c>
      <c r="C14" s="587" t="s">
        <v>549</v>
      </c>
      <c r="D14" s="587" t="s">
        <v>550</v>
      </c>
      <c r="E14" s="587" t="s">
        <v>551</v>
      </c>
      <c r="F14" s="587" t="s">
        <v>28</v>
      </c>
      <c r="G14" s="587" t="s">
        <v>552</v>
      </c>
      <c r="H14" s="587" t="s">
        <v>553</v>
      </c>
      <c r="I14" s="587" t="s">
        <v>547</v>
      </c>
      <c r="J14" s="432"/>
      <c r="K14" s="432"/>
      <c r="L14" s="432"/>
      <c r="M14" s="432"/>
      <c r="N14" s="432"/>
    </row>
    <row r="15" spans="1:14" ht="43.2" x14ac:dyDescent="0.3">
      <c r="A15" s="183">
        <v>10</v>
      </c>
      <c r="B15" s="193" t="s">
        <v>589</v>
      </c>
      <c r="C15" s="193" t="s">
        <v>590</v>
      </c>
      <c r="D15" s="241">
        <v>1.3</v>
      </c>
      <c r="E15" s="183" t="s">
        <v>551</v>
      </c>
      <c r="F15" s="183">
        <v>1</v>
      </c>
      <c r="G15" s="180" t="s">
        <v>1509</v>
      </c>
      <c r="H15" s="459">
        <f>1/6</f>
        <v>0.16666666666666666</v>
      </c>
      <c r="I15" s="385">
        <f>F15*D15*H15</f>
        <v>0.21666666666666667</v>
      </c>
    </row>
    <row r="16" spans="1:14" s="432" customFormat="1" x14ac:dyDescent="0.3">
      <c r="A16" s="183">
        <v>20</v>
      </c>
      <c r="B16" s="180" t="s">
        <v>591</v>
      </c>
      <c r="C16" s="193" t="s">
        <v>1213</v>
      </c>
      <c r="D16" s="241">
        <v>0.01</v>
      </c>
      <c r="E16" s="183" t="s">
        <v>593</v>
      </c>
      <c r="F16" s="183">
        <v>12</v>
      </c>
      <c r="G16" s="289" t="s">
        <v>598</v>
      </c>
      <c r="H16" s="183">
        <v>3</v>
      </c>
      <c r="I16" s="385">
        <f>D16*F16*H16</f>
        <v>0.36</v>
      </c>
      <c r="J16" s="311"/>
      <c r="K16" s="311"/>
      <c r="L16" s="311"/>
      <c r="M16" s="311"/>
      <c r="N16" s="311"/>
    </row>
    <row r="17" spans="1:14" ht="28.8" x14ac:dyDescent="0.3">
      <c r="A17" s="183">
        <v>30</v>
      </c>
      <c r="B17" s="180" t="s">
        <v>702</v>
      </c>
      <c r="C17" s="414" t="s">
        <v>1503</v>
      </c>
      <c r="D17" s="241">
        <v>0.25</v>
      </c>
      <c r="E17" s="183" t="s">
        <v>704</v>
      </c>
      <c r="F17" s="183">
        <v>1</v>
      </c>
      <c r="G17" s="183"/>
      <c r="H17" s="183"/>
      <c r="I17" s="385">
        <f>D17*F17</f>
        <v>0.25</v>
      </c>
      <c r="J17" s="432"/>
      <c r="K17" s="432"/>
      <c r="L17" s="432"/>
      <c r="M17" s="432"/>
      <c r="N17" s="432"/>
    </row>
    <row r="18" spans="1:14" x14ac:dyDescent="0.3">
      <c r="A18" s="183">
        <v>40</v>
      </c>
      <c r="B18" s="474" t="s">
        <v>762</v>
      </c>
      <c r="C18" s="414" t="s">
        <v>1209</v>
      </c>
      <c r="D18" s="241">
        <v>5.25</v>
      </c>
      <c r="E18" s="183" t="s">
        <v>1210</v>
      </c>
      <c r="F18" s="206">
        <f>48*12/1000000</f>
        <v>5.7600000000000001E-4</v>
      </c>
      <c r="G18" s="475"/>
      <c r="H18" s="183"/>
      <c r="I18" s="385">
        <f>F18*D18</f>
        <v>3.0240000000000002E-3</v>
      </c>
    </row>
    <row r="19" spans="1:14" x14ac:dyDescent="0.3">
      <c r="A19" s="432"/>
      <c r="B19" s="432"/>
      <c r="C19" s="432"/>
      <c r="D19" s="432"/>
      <c r="E19" s="432"/>
      <c r="F19" s="432"/>
      <c r="G19" s="432"/>
      <c r="H19" s="574" t="s">
        <v>547</v>
      </c>
      <c r="I19" s="588">
        <f>SUM(I15:I18)</f>
        <v>0.82969066666666669</v>
      </c>
    </row>
    <row r="21" spans="1:14" x14ac:dyDescent="0.3">
      <c r="H21" s="326"/>
      <c r="I21" s="447"/>
    </row>
  </sheetData>
  <pageMargins left="0.7" right="0.7" top="0.75" bottom="0.75" header="0.3" footer="0.3"/>
  <pageSetup paperSize="9" scale="65" orientation="landscape" r:id="rId1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33CC"/>
  </sheetPr>
  <dimension ref="A1:N155"/>
  <sheetViews>
    <sheetView showGridLines="0" workbookViewId="0"/>
  </sheetViews>
  <sheetFormatPr defaultColWidth="9.109375" defaultRowHeight="14.4" x14ac:dyDescent="0.3"/>
  <cols>
    <col min="1" max="1" width="10.6640625" style="161" bestFit="1" customWidth="1"/>
    <col min="2" max="2" width="31.109375" style="161" customWidth="1"/>
    <col min="3" max="3" width="44.6640625" style="161" customWidth="1"/>
    <col min="4" max="4" width="11.33203125" style="161" bestFit="1" customWidth="1"/>
    <col min="5" max="5" width="13.6640625" style="161" bestFit="1" customWidth="1"/>
    <col min="6" max="6" width="9.6640625" style="161" customWidth="1"/>
    <col min="7" max="7" width="14.44140625" style="161" customWidth="1"/>
    <col min="8" max="8" width="10.109375" style="161" customWidth="1"/>
    <col min="9" max="9" width="12.44140625" style="161" bestFit="1" customWidth="1"/>
    <col min="10" max="10" width="11.33203125" style="161" customWidth="1"/>
    <col min="11" max="11" width="9.6640625" style="161" bestFit="1" customWidth="1"/>
    <col min="12" max="12" width="9.33203125" style="161" bestFit="1" customWidth="1"/>
    <col min="13" max="13" width="13.5546875" style="161" customWidth="1"/>
    <col min="14" max="14" width="11.6640625" style="161" customWidth="1"/>
    <col min="15" max="16384" width="9.109375" style="161"/>
  </cols>
  <sheetData>
    <row r="1" spans="1:14" x14ac:dyDescent="0.3">
      <c r="A1" s="566" t="s">
        <v>523</v>
      </c>
      <c r="B1" s="161" t="s">
        <v>524</v>
      </c>
      <c r="J1" s="566" t="s">
        <v>528</v>
      </c>
      <c r="K1" s="163">
        <v>81</v>
      </c>
      <c r="M1" s="566" t="s">
        <v>531</v>
      </c>
      <c r="N1" s="336">
        <f>E31+N41+I117+I155+J151</f>
        <v>261.81152716000014</v>
      </c>
    </row>
    <row r="2" spans="1:14" x14ac:dyDescent="0.3">
      <c r="A2" s="566" t="s">
        <v>532</v>
      </c>
      <c r="B2" s="161" t="s">
        <v>1418</v>
      </c>
      <c r="M2" s="566" t="s">
        <v>533</v>
      </c>
      <c r="N2" s="165">
        <v>1</v>
      </c>
    </row>
    <row r="3" spans="1:14" x14ac:dyDescent="0.3">
      <c r="A3" s="566" t="s">
        <v>534</v>
      </c>
      <c r="B3" s="161" t="s">
        <v>211</v>
      </c>
      <c r="J3" s="566" t="s">
        <v>536</v>
      </c>
    </row>
    <row r="4" spans="1:14" x14ac:dyDescent="0.3">
      <c r="A4" s="566" t="s">
        <v>537</v>
      </c>
      <c r="B4" s="166" t="s">
        <v>210</v>
      </c>
      <c r="J4" s="566" t="s">
        <v>538</v>
      </c>
      <c r="M4" s="566" t="s">
        <v>539</v>
      </c>
      <c r="N4" s="336">
        <f>N1*N2</f>
        <v>261.81152716000014</v>
      </c>
    </row>
    <row r="5" spans="1:14" x14ac:dyDescent="0.3">
      <c r="A5" s="566" t="s">
        <v>540</v>
      </c>
      <c r="B5" s="161" t="s">
        <v>36</v>
      </c>
      <c r="J5" s="566" t="s">
        <v>541</v>
      </c>
    </row>
    <row r="6" spans="1:14" x14ac:dyDescent="0.3">
      <c r="A6" s="566" t="s">
        <v>542</v>
      </c>
      <c r="B6" s="161" t="s">
        <v>1510</v>
      </c>
    </row>
    <row r="8" spans="1:14" x14ac:dyDescent="0.3">
      <c r="A8" s="567" t="s">
        <v>544</v>
      </c>
      <c r="B8" s="567" t="s">
        <v>545</v>
      </c>
      <c r="C8" s="567" t="s">
        <v>546</v>
      </c>
      <c r="D8" s="567" t="s">
        <v>28</v>
      </c>
      <c r="E8" s="567" t="s">
        <v>547</v>
      </c>
    </row>
    <row r="9" spans="1:14" x14ac:dyDescent="0.3">
      <c r="A9" s="168">
        <v>10</v>
      </c>
      <c r="B9" s="168" t="s">
        <v>213</v>
      </c>
      <c r="C9" s="323">
        <f>'FR 04001'!N1</f>
        <v>22.317619999999994</v>
      </c>
      <c r="D9" s="171">
        <v>2</v>
      </c>
      <c r="E9" s="322">
        <f>C9*D9</f>
        <v>44.635239999999989</v>
      </c>
    </row>
    <row r="10" spans="1:14" x14ac:dyDescent="0.3">
      <c r="A10" s="168">
        <v>20</v>
      </c>
      <c r="B10" s="168" t="s">
        <v>215</v>
      </c>
      <c r="C10" s="323">
        <f>'FR 04002'!N1</f>
        <v>1.3398700873687632</v>
      </c>
      <c r="D10" s="171">
        <v>4</v>
      </c>
      <c r="E10" s="322">
        <f>C10*D10</f>
        <v>5.3594803494750529</v>
      </c>
    </row>
    <row r="11" spans="1:14" x14ac:dyDescent="0.3">
      <c r="A11" s="168">
        <v>30</v>
      </c>
      <c r="B11" s="168" t="s">
        <v>217</v>
      </c>
      <c r="C11" s="323">
        <f>'FR 04003'!N1</f>
        <v>44.463471124999998</v>
      </c>
      <c r="D11" s="171">
        <v>1</v>
      </c>
      <c r="E11" s="322">
        <f t="shared" ref="E11:E29" si="0">C11*D11</f>
        <v>44.463471124999998</v>
      </c>
    </row>
    <row r="12" spans="1:14" x14ac:dyDescent="0.3">
      <c r="A12" s="168">
        <v>40</v>
      </c>
      <c r="B12" s="218" t="s">
        <v>219</v>
      </c>
      <c r="C12" s="323">
        <f>'FR 04004'!N1</f>
        <v>14.098567096</v>
      </c>
      <c r="D12" s="171">
        <v>1</v>
      </c>
      <c r="E12" s="322">
        <f>C12*D12</f>
        <v>14.098567096</v>
      </c>
    </row>
    <row r="13" spans="1:14" x14ac:dyDescent="0.3">
      <c r="A13" s="168">
        <v>50</v>
      </c>
      <c r="B13" s="166" t="s">
        <v>221</v>
      </c>
      <c r="C13" s="323">
        <f>'FR 04005'!N1</f>
        <v>10.725190118000002</v>
      </c>
      <c r="D13" s="171">
        <v>1</v>
      </c>
      <c r="E13" s="322">
        <f t="shared" si="0"/>
        <v>10.725190118000002</v>
      </c>
    </row>
    <row r="14" spans="1:14" x14ac:dyDescent="0.3">
      <c r="A14" s="168">
        <v>60</v>
      </c>
      <c r="B14" s="168" t="s">
        <v>223</v>
      </c>
      <c r="C14" s="323">
        <f>'FR 04006'!N1</f>
        <v>2.8165277404792035</v>
      </c>
      <c r="D14" s="171">
        <v>1</v>
      </c>
      <c r="E14" s="322">
        <f t="shared" si="0"/>
        <v>2.8165277404792035</v>
      </c>
    </row>
    <row r="15" spans="1:14" x14ac:dyDescent="0.3">
      <c r="A15" s="168">
        <v>70</v>
      </c>
      <c r="B15" s="592" t="s">
        <v>225</v>
      </c>
      <c r="C15" s="593">
        <f>'FR 04007'!N1</f>
        <v>2.8610709000000001</v>
      </c>
      <c r="D15" s="594">
        <v>1</v>
      </c>
      <c r="E15" s="322">
        <f t="shared" si="0"/>
        <v>2.8610709000000001</v>
      </c>
    </row>
    <row r="16" spans="1:14" x14ac:dyDescent="0.3">
      <c r="A16" s="168">
        <v>80</v>
      </c>
      <c r="B16" s="218" t="s">
        <v>227</v>
      </c>
      <c r="C16" s="323">
        <f>'FR 04008'!N1</f>
        <v>14.75466988</v>
      </c>
      <c r="D16" s="171">
        <v>1</v>
      </c>
      <c r="E16" s="322">
        <f>C16*D16</f>
        <v>14.75466988</v>
      </c>
    </row>
    <row r="17" spans="1:7" x14ac:dyDescent="0.3">
      <c r="A17" s="168">
        <v>90</v>
      </c>
      <c r="B17" s="166" t="s">
        <v>229</v>
      </c>
      <c r="C17" s="595">
        <f>'FR 04009'!N1</f>
        <v>9.3385921920000001</v>
      </c>
      <c r="D17" s="596">
        <v>1</v>
      </c>
      <c r="E17" s="322">
        <f>C17*D17</f>
        <v>9.3385921920000001</v>
      </c>
    </row>
    <row r="18" spans="1:7" x14ac:dyDescent="0.3">
      <c r="A18" s="168">
        <v>100</v>
      </c>
      <c r="B18" s="168" t="s">
        <v>231</v>
      </c>
      <c r="C18" s="323">
        <f>'FR 04010'!N1</f>
        <v>2.8136967727992372</v>
      </c>
      <c r="D18" s="171">
        <v>1</v>
      </c>
      <c r="E18" s="322">
        <f>C18*D18</f>
        <v>2.8136967727992372</v>
      </c>
      <c r="G18" s="166"/>
    </row>
    <row r="19" spans="1:7" x14ac:dyDescent="0.3">
      <c r="A19" s="168">
        <v>110</v>
      </c>
      <c r="B19" s="168" t="s">
        <v>233</v>
      </c>
      <c r="C19" s="323">
        <f>'FR 04011'!N1</f>
        <v>2.8610709000000001</v>
      </c>
      <c r="D19" s="171">
        <v>1</v>
      </c>
      <c r="E19" s="322">
        <f>C19*D19</f>
        <v>2.8610709000000001</v>
      </c>
    </row>
    <row r="20" spans="1:7" x14ac:dyDescent="0.3">
      <c r="A20" s="168">
        <v>120</v>
      </c>
      <c r="B20" s="168" t="s">
        <v>1511</v>
      </c>
      <c r="C20" s="323">
        <f>'FR 04012'!N1</f>
        <v>10.624564912</v>
      </c>
      <c r="D20" s="171">
        <v>1</v>
      </c>
      <c r="E20" s="322">
        <f t="shared" si="0"/>
        <v>10.624564912</v>
      </c>
    </row>
    <row r="21" spans="1:7" x14ac:dyDescent="0.3">
      <c r="A21" s="168">
        <v>130</v>
      </c>
      <c r="B21" s="168" t="s">
        <v>1512</v>
      </c>
      <c r="C21" s="323">
        <f>'FR 04013'!N1</f>
        <v>3.8645500000000004</v>
      </c>
      <c r="D21" s="171">
        <v>2</v>
      </c>
      <c r="E21" s="322">
        <f t="shared" si="0"/>
        <v>7.7291000000000007</v>
      </c>
    </row>
    <row r="22" spans="1:7" x14ac:dyDescent="0.3">
      <c r="A22" s="168">
        <v>140</v>
      </c>
      <c r="B22" s="168" t="s">
        <v>1513</v>
      </c>
      <c r="C22" s="323">
        <f>'FR 04014'!N1</f>
        <v>2.9895998925801059</v>
      </c>
      <c r="D22" s="171">
        <v>1</v>
      </c>
      <c r="E22" s="322">
        <f t="shared" si="0"/>
        <v>2.9895998925801059</v>
      </c>
    </row>
    <row r="23" spans="1:7" x14ac:dyDescent="0.3">
      <c r="A23" s="168">
        <v>150</v>
      </c>
      <c r="B23" s="168" t="s">
        <v>1514</v>
      </c>
      <c r="C23" s="323">
        <f>'FR 04015'!N1</f>
        <v>2.5317297200000004</v>
      </c>
      <c r="D23" s="171">
        <v>1</v>
      </c>
      <c r="E23" s="322">
        <f t="shared" si="0"/>
        <v>2.5317297200000004</v>
      </c>
    </row>
    <row r="24" spans="1:7" x14ac:dyDescent="0.3">
      <c r="A24" s="168">
        <v>160</v>
      </c>
      <c r="B24" s="168" t="s">
        <v>1515</v>
      </c>
      <c r="C24" s="323">
        <f>'FR 04016'!N1</f>
        <v>2.5317297200000004</v>
      </c>
      <c r="D24" s="171">
        <v>1</v>
      </c>
      <c r="E24" s="322">
        <f t="shared" si="0"/>
        <v>2.5317297200000004</v>
      </c>
    </row>
    <row r="25" spans="1:7" x14ac:dyDescent="0.3">
      <c r="A25" s="168">
        <v>170</v>
      </c>
      <c r="B25" s="168" t="s">
        <v>1516</v>
      </c>
      <c r="C25" s="323">
        <f>'FR 04017'!N1</f>
        <v>2.1050399800000004</v>
      </c>
      <c r="D25" s="171">
        <v>1</v>
      </c>
      <c r="E25" s="322">
        <f t="shared" si="0"/>
        <v>2.1050399800000004</v>
      </c>
    </row>
    <row r="26" spans="1:7" x14ac:dyDescent="0.3">
      <c r="A26" s="168">
        <v>180</v>
      </c>
      <c r="B26" s="168" t="s">
        <v>1517</v>
      </c>
      <c r="C26" s="323">
        <f>'FR 04018'!N1</f>
        <v>2.2120150399999998</v>
      </c>
      <c r="D26" s="171">
        <v>1</v>
      </c>
      <c r="E26" s="322">
        <f t="shared" si="0"/>
        <v>2.2120150399999998</v>
      </c>
    </row>
    <row r="27" spans="1:7" x14ac:dyDescent="0.3">
      <c r="A27" s="168">
        <v>190</v>
      </c>
      <c r="B27" s="168" t="s">
        <v>1518</v>
      </c>
      <c r="C27" s="323">
        <f>'FR 04019'!N1</f>
        <v>2.7964854999999997</v>
      </c>
      <c r="D27" s="171">
        <v>1</v>
      </c>
      <c r="E27" s="322">
        <f t="shared" si="0"/>
        <v>2.7964854999999997</v>
      </c>
    </row>
    <row r="28" spans="1:7" x14ac:dyDescent="0.3">
      <c r="A28" s="168">
        <v>200</v>
      </c>
      <c r="B28" s="166" t="s">
        <v>1519</v>
      </c>
      <c r="C28" s="593">
        <f>'FR 04020'!N1</f>
        <v>2.575152375</v>
      </c>
      <c r="D28" s="594">
        <v>1</v>
      </c>
      <c r="E28" s="322">
        <f t="shared" si="0"/>
        <v>2.575152375</v>
      </c>
    </row>
    <row r="29" spans="1:7" x14ac:dyDescent="0.3">
      <c r="A29" s="168">
        <v>210</v>
      </c>
      <c r="B29" s="218" t="s">
        <v>1520</v>
      </c>
      <c r="C29" s="323">
        <f>'FR 04021'!N1</f>
        <v>2.48196628</v>
      </c>
      <c r="D29" s="171">
        <v>1</v>
      </c>
      <c r="E29" s="322">
        <f t="shared" si="0"/>
        <v>2.48196628</v>
      </c>
    </row>
    <row r="30" spans="1:7" x14ac:dyDescent="0.3">
      <c r="A30" s="168">
        <v>220</v>
      </c>
      <c r="B30" s="218" t="s">
        <v>1521</v>
      </c>
      <c r="C30" s="323">
        <f>'FR 04022'!N1</f>
        <v>0.62144999999999995</v>
      </c>
      <c r="D30" s="171">
        <v>2</v>
      </c>
      <c r="E30" s="322">
        <f>C30*D30</f>
        <v>1.2428999999999999</v>
      </c>
    </row>
    <row r="31" spans="1:7" x14ac:dyDescent="0.3">
      <c r="D31" s="568" t="s">
        <v>547</v>
      </c>
      <c r="E31" s="569">
        <f>SUM(E9:E30)</f>
        <v>194.5478604933335</v>
      </c>
    </row>
    <row r="33" spans="1:14" x14ac:dyDescent="0.3">
      <c r="A33" s="567" t="s">
        <v>544</v>
      </c>
      <c r="B33" s="567" t="s">
        <v>581</v>
      </c>
      <c r="C33" s="567" t="s">
        <v>549</v>
      </c>
      <c r="D33" s="567" t="s">
        <v>550</v>
      </c>
      <c r="E33" s="567" t="s">
        <v>567</v>
      </c>
      <c r="F33" s="567" t="s">
        <v>568</v>
      </c>
      <c r="G33" s="567" t="s">
        <v>569</v>
      </c>
      <c r="H33" s="567" t="s">
        <v>570</v>
      </c>
      <c r="I33" s="567" t="s">
        <v>582</v>
      </c>
      <c r="J33" s="567" t="s">
        <v>583</v>
      </c>
      <c r="K33" s="567" t="s">
        <v>584</v>
      </c>
      <c r="L33" s="567" t="s">
        <v>585</v>
      </c>
      <c r="M33" s="567" t="s">
        <v>28</v>
      </c>
      <c r="N33" s="567" t="s">
        <v>547</v>
      </c>
    </row>
    <row r="34" spans="1:14" ht="28.8" x14ac:dyDescent="0.3">
      <c r="A34" s="168">
        <v>10</v>
      </c>
      <c r="B34" s="168" t="s">
        <v>1024</v>
      </c>
      <c r="C34" s="184" t="s">
        <v>1522</v>
      </c>
      <c r="D34" s="323">
        <v>0</v>
      </c>
      <c r="E34" s="168"/>
      <c r="F34" s="168"/>
      <c r="G34" s="168"/>
      <c r="H34" s="219"/>
      <c r="I34" s="220"/>
      <c r="J34" s="221"/>
      <c r="K34" s="219"/>
      <c r="L34" s="219"/>
      <c r="M34" s="222"/>
      <c r="N34" s="322">
        <f t="shared" ref="N34:N39" si="1">D34*M34</f>
        <v>0</v>
      </c>
    </row>
    <row r="35" spans="1:14" s="248" customFormat="1" ht="28.8" x14ac:dyDescent="0.3">
      <c r="A35" s="168">
        <v>20</v>
      </c>
      <c r="B35" s="184" t="s">
        <v>1523</v>
      </c>
      <c r="C35" s="184" t="s">
        <v>1524</v>
      </c>
      <c r="D35" s="362">
        <v>0</v>
      </c>
      <c r="E35" s="184"/>
      <c r="F35" s="184"/>
      <c r="G35" s="184"/>
      <c r="H35" s="268"/>
      <c r="I35" s="269"/>
      <c r="J35" s="270"/>
      <c r="K35" s="268"/>
      <c r="L35" s="268"/>
      <c r="M35" s="271"/>
      <c r="N35" s="322">
        <f t="shared" si="1"/>
        <v>0</v>
      </c>
    </row>
    <row r="36" spans="1:14" x14ac:dyDescent="0.3">
      <c r="A36" s="168">
        <v>30</v>
      </c>
      <c r="B36" s="168" t="s">
        <v>1525</v>
      </c>
      <c r="C36" s="168" t="s">
        <v>1526</v>
      </c>
      <c r="D36" s="323">
        <v>0.97</v>
      </c>
      <c r="E36" s="168">
        <v>6</v>
      </c>
      <c r="F36" s="168" t="s">
        <v>573</v>
      </c>
      <c r="G36" s="168"/>
      <c r="H36" s="219"/>
      <c r="I36" s="331"/>
      <c r="J36" s="221"/>
      <c r="K36" s="219"/>
      <c r="L36" s="219"/>
      <c r="M36" s="222">
        <v>1</v>
      </c>
      <c r="N36" s="322">
        <f t="shared" si="1"/>
        <v>0.97</v>
      </c>
    </row>
    <row r="37" spans="1:14" x14ac:dyDescent="0.3">
      <c r="A37" s="168">
        <v>40</v>
      </c>
      <c r="B37" s="168" t="s">
        <v>1527</v>
      </c>
      <c r="C37" s="168" t="s">
        <v>1528</v>
      </c>
      <c r="D37" s="323">
        <v>0.97</v>
      </c>
      <c r="E37" s="168">
        <v>6</v>
      </c>
      <c r="F37" s="168" t="s">
        <v>573</v>
      </c>
      <c r="G37" s="168"/>
      <c r="H37" s="219"/>
      <c r="I37" s="331"/>
      <c r="J37" s="221"/>
      <c r="K37" s="219"/>
      <c r="L37" s="219"/>
      <c r="M37" s="222">
        <v>1</v>
      </c>
      <c r="N37" s="322">
        <f t="shared" si="1"/>
        <v>0.97</v>
      </c>
    </row>
    <row r="38" spans="1:14" x14ac:dyDescent="0.3">
      <c r="A38" s="168">
        <v>50</v>
      </c>
      <c r="B38" s="168" t="s">
        <v>1529</v>
      </c>
      <c r="C38" s="168" t="s">
        <v>1530</v>
      </c>
      <c r="D38" s="323">
        <v>3</v>
      </c>
      <c r="E38" s="168"/>
      <c r="F38" s="386"/>
      <c r="G38" s="168"/>
      <c r="H38" s="219"/>
      <c r="I38" s="331"/>
      <c r="J38" s="221"/>
      <c r="K38" s="219"/>
      <c r="L38" s="219"/>
      <c r="M38" s="222">
        <v>1</v>
      </c>
      <c r="N38" s="322">
        <f t="shared" si="1"/>
        <v>3</v>
      </c>
    </row>
    <row r="39" spans="1:14" x14ac:dyDescent="0.3">
      <c r="A39" s="168">
        <v>60</v>
      </c>
      <c r="B39" s="168" t="s">
        <v>625</v>
      </c>
      <c r="C39" s="168" t="s">
        <v>1531</v>
      </c>
      <c r="D39" s="302">
        <v>10</v>
      </c>
      <c r="E39" s="168">
        <v>4.8000000000000001E-2</v>
      </c>
      <c r="F39" s="168" t="s">
        <v>627</v>
      </c>
      <c r="G39" s="168"/>
      <c r="H39" s="219"/>
      <c r="I39" s="269"/>
      <c r="J39" s="227"/>
      <c r="K39" s="597"/>
      <c r="L39" s="219"/>
      <c r="M39" s="171">
        <v>4.8000000000000001E-2</v>
      </c>
      <c r="N39" s="322">
        <f t="shared" si="1"/>
        <v>0.48</v>
      </c>
    </row>
    <row r="40" spans="1:14" x14ac:dyDescent="0.3">
      <c r="A40" s="168">
        <v>70</v>
      </c>
      <c r="B40" s="218" t="s">
        <v>1067</v>
      </c>
      <c r="C40" s="168" t="s">
        <v>1066</v>
      </c>
      <c r="D40" s="323">
        <v>1</v>
      </c>
      <c r="E40" s="168"/>
      <c r="F40" s="168"/>
      <c r="G40" s="168"/>
      <c r="H40" s="219"/>
      <c r="I40" s="269"/>
      <c r="J40" s="227"/>
      <c r="K40" s="597"/>
      <c r="L40" s="219"/>
      <c r="M40" s="171">
        <v>1</v>
      </c>
      <c r="N40" s="322">
        <f>D40*M40</f>
        <v>1</v>
      </c>
    </row>
    <row r="41" spans="1:14" s="178" customFormat="1" x14ac:dyDescent="0.3">
      <c r="M41" s="568" t="s">
        <v>547</v>
      </c>
      <c r="N41" s="569">
        <f>SUM(N34:N40)</f>
        <v>6.42</v>
      </c>
    </row>
    <row r="43" spans="1:14" s="178" customFormat="1" x14ac:dyDescent="0.3">
      <c r="A43" s="567" t="s">
        <v>544</v>
      </c>
      <c r="B43" s="567" t="s">
        <v>548</v>
      </c>
      <c r="C43" s="567" t="s">
        <v>549</v>
      </c>
      <c r="D43" s="567" t="s">
        <v>550</v>
      </c>
      <c r="E43" s="567" t="s">
        <v>551</v>
      </c>
      <c r="F43" s="567" t="s">
        <v>28</v>
      </c>
      <c r="G43" s="567" t="s">
        <v>552</v>
      </c>
      <c r="H43" s="567" t="s">
        <v>553</v>
      </c>
      <c r="I43" s="567" t="s">
        <v>547</v>
      </c>
    </row>
    <row r="44" spans="1:14" x14ac:dyDescent="0.3">
      <c r="A44" s="168">
        <v>10</v>
      </c>
      <c r="B44" s="180" t="s">
        <v>650</v>
      </c>
      <c r="C44" s="168" t="s">
        <v>1532</v>
      </c>
      <c r="D44" s="323">
        <v>0.15</v>
      </c>
      <c r="E44" s="168" t="s">
        <v>593</v>
      </c>
      <c r="F44" s="168">
        <f>2*4*4</f>
        <v>32</v>
      </c>
      <c r="G44" s="168"/>
      <c r="H44" s="168">
        <v>1</v>
      </c>
      <c r="I44" s="323">
        <f t="shared" ref="I44:I107" si="2">D44*F44*H44</f>
        <v>4.8</v>
      </c>
    </row>
    <row r="45" spans="1:14" x14ac:dyDescent="0.3">
      <c r="A45" s="168">
        <v>20</v>
      </c>
      <c r="B45" s="180" t="s">
        <v>762</v>
      </c>
      <c r="C45" s="168" t="s">
        <v>1533</v>
      </c>
      <c r="D45" s="243">
        <v>5.25</v>
      </c>
      <c r="E45" s="180" t="s">
        <v>627</v>
      </c>
      <c r="F45" s="168">
        <f>E39</f>
        <v>4.8000000000000001E-2</v>
      </c>
      <c r="G45" s="168"/>
      <c r="H45" s="168">
        <v>1</v>
      </c>
      <c r="I45" s="323">
        <f t="shared" si="2"/>
        <v>0.252</v>
      </c>
    </row>
    <row r="46" spans="1:14" x14ac:dyDescent="0.3">
      <c r="A46" s="168">
        <v>30</v>
      </c>
      <c r="B46" s="285" t="s">
        <v>760</v>
      </c>
      <c r="C46" s="171" t="s">
        <v>1534</v>
      </c>
      <c r="D46" s="323">
        <v>0.1875</v>
      </c>
      <c r="E46" s="168" t="s">
        <v>556</v>
      </c>
      <c r="F46" s="168">
        <v>4</v>
      </c>
      <c r="G46" s="168"/>
      <c r="H46" s="168">
        <v>1</v>
      </c>
      <c r="I46" s="323">
        <f t="shared" si="2"/>
        <v>0.75</v>
      </c>
    </row>
    <row r="47" spans="1:14" x14ac:dyDescent="0.3">
      <c r="A47" s="168">
        <v>40</v>
      </c>
      <c r="B47" s="180" t="s">
        <v>557</v>
      </c>
      <c r="C47" s="171" t="s">
        <v>1535</v>
      </c>
      <c r="D47" s="323">
        <v>0.06</v>
      </c>
      <c r="E47" s="168" t="s">
        <v>556</v>
      </c>
      <c r="F47" s="168">
        <v>1</v>
      </c>
      <c r="G47" s="168"/>
      <c r="H47" s="168">
        <v>1</v>
      </c>
      <c r="I47" s="323">
        <f t="shared" si="2"/>
        <v>0.06</v>
      </c>
    </row>
    <row r="48" spans="1:14" x14ac:dyDescent="0.3">
      <c r="A48" s="168">
        <v>50</v>
      </c>
      <c r="B48" s="180" t="s">
        <v>659</v>
      </c>
      <c r="C48" s="168" t="s">
        <v>1536</v>
      </c>
      <c r="D48" s="243">
        <v>0.5</v>
      </c>
      <c r="E48" s="180" t="s">
        <v>556</v>
      </c>
      <c r="F48" s="168">
        <v>4</v>
      </c>
      <c r="G48" s="168"/>
      <c r="H48" s="168">
        <v>1</v>
      </c>
      <c r="I48" s="323">
        <f t="shared" si="2"/>
        <v>2</v>
      </c>
    </row>
    <row r="49" spans="1:9" x14ac:dyDescent="0.3">
      <c r="A49" s="168">
        <v>60</v>
      </c>
      <c r="B49" s="180" t="s">
        <v>660</v>
      </c>
      <c r="C49" s="168" t="s">
        <v>661</v>
      </c>
      <c r="D49" s="243">
        <v>0.25</v>
      </c>
      <c r="E49" s="180" t="s">
        <v>556</v>
      </c>
      <c r="F49" s="168">
        <v>4</v>
      </c>
      <c r="G49" s="168"/>
      <c r="H49" s="168">
        <v>1</v>
      </c>
      <c r="I49" s="323">
        <f t="shared" si="2"/>
        <v>1</v>
      </c>
    </row>
    <row r="50" spans="1:9" x14ac:dyDescent="0.3">
      <c r="A50" s="168">
        <v>70</v>
      </c>
      <c r="B50" s="180" t="s">
        <v>749</v>
      </c>
      <c r="C50" s="171" t="s">
        <v>1537</v>
      </c>
      <c r="D50" s="243">
        <v>0.125</v>
      </c>
      <c r="E50" s="180" t="s">
        <v>556</v>
      </c>
      <c r="F50" s="168">
        <v>1</v>
      </c>
      <c r="G50" s="168"/>
      <c r="H50" s="168">
        <v>1</v>
      </c>
      <c r="I50" s="323">
        <f t="shared" si="2"/>
        <v>0.125</v>
      </c>
    </row>
    <row r="51" spans="1:9" x14ac:dyDescent="0.3">
      <c r="A51" s="168">
        <v>80</v>
      </c>
      <c r="B51" s="180" t="s">
        <v>749</v>
      </c>
      <c r="C51" s="168" t="s">
        <v>1717</v>
      </c>
      <c r="D51" s="243">
        <v>0.125</v>
      </c>
      <c r="E51" s="180" t="s">
        <v>556</v>
      </c>
      <c r="F51" s="168">
        <v>1</v>
      </c>
      <c r="G51" s="168"/>
      <c r="H51" s="168">
        <v>1</v>
      </c>
      <c r="I51" s="323">
        <f t="shared" si="2"/>
        <v>0.125</v>
      </c>
    </row>
    <row r="52" spans="1:9" x14ac:dyDescent="0.3">
      <c r="A52" s="168">
        <v>90</v>
      </c>
      <c r="B52" s="180" t="s">
        <v>659</v>
      </c>
      <c r="C52" s="168" t="s">
        <v>1718</v>
      </c>
      <c r="D52" s="243">
        <v>0.5</v>
      </c>
      <c r="E52" s="180" t="s">
        <v>556</v>
      </c>
      <c r="F52" s="168">
        <v>2</v>
      </c>
      <c r="G52" s="168"/>
      <c r="H52" s="168">
        <v>1</v>
      </c>
      <c r="I52" s="323">
        <f t="shared" si="2"/>
        <v>1</v>
      </c>
    </row>
    <row r="53" spans="1:9" x14ac:dyDescent="0.3">
      <c r="A53" s="168">
        <v>100</v>
      </c>
      <c r="B53" s="180" t="s">
        <v>557</v>
      </c>
      <c r="C53" s="168" t="s">
        <v>1538</v>
      </c>
      <c r="D53" s="323">
        <v>0.06</v>
      </c>
      <c r="E53" s="168" t="s">
        <v>556</v>
      </c>
      <c r="F53" s="168">
        <v>1</v>
      </c>
      <c r="G53" s="168"/>
      <c r="H53" s="168">
        <v>1</v>
      </c>
      <c r="I53" s="323">
        <f t="shared" si="2"/>
        <v>0.06</v>
      </c>
    </row>
    <row r="54" spans="1:9" x14ac:dyDescent="0.3">
      <c r="A54" s="168">
        <v>110</v>
      </c>
      <c r="B54" s="180" t="s">
        <v>659</v>
      </c>
      <c r="C54" s="171" t="s">
        <v>1539</v>
      </c>
      <c r="D54" s="243">
        <v>0.5</v>
      </c>
      <c r="E54" s="180" t="s">
        <v>556</v>
      </c>
      <c r="F54" s="168">
        <v>3</v>
      </c>
      <c r="G54" s="168"/>
      <c r="H54" s="168">
        <v>1</v>
      </c>
      <c r="I54" s="323">
        <f t="shared" si="2"/>
        <v>1.5</v>
      </c>
    </row>
    <row r="55" spans="1:9" x14ac:dyDescent="0.3">
      <c r="A55" s="168">
        <v>120</v>
      </c>
      <c r="B55" s="180" t="s">
        <v>660</v>
      </c>
      <c r="C55" s="168" t="s">
        <v>1012</v>
      </c>
      <c r="D55" s="243">
        <v>0.25</v>
      </c>
      <c r="E55" s="180" t="s">
        <v>556</v>
      </c>
      <c r="F55" s="168">
        <v>1</v>
      </c>
      <c r="G55" s="168"/>
      <c r="H55" s="168">
        <v>1</v>
      </c>
      <c r="I55" s="323">
        <f t="shared" si="2"/>
        <v>0.25</v>
      </c>
    </row>
    <row r="56" spans="1:9" x14ac:dyDescent="0.3">
      <c r="A56" s="168">
        <v>130</v>
      </c>
      <c r="B56" s="180" t="s">
        <v>557</v>
      </c>
      <c r="C56" s="171" t="s">
        <v>1540</v>
      </c>
      <c r="D56" s="323">
        <v>0.06</v>
      </c>
      <c r="E56" s="180" t="s">
        <v>556</v>
      </c>
      <c r="F56" s="168">
        <v>1</v>
      </c>
      <c r="G56" s="168"/>
      <c r="H56" s="168">
        <v>1</v>
      </c>
      <c r="I56" s="323">
        <f t="shared" si="2"/>
        <v>0.06</v>
      </c>
    </row>
    <row r="57" spans="1:9" ht="15.75" customHeight="1" x14ac:dyDescent="0.3">
      <c r="A57" s="168">
        <v>140</v>
      </c>
      <c r="B57" s="180" t="s">
        <v>659</v>
      </c>
      <c r="C57" s="168" t="s">
        <v>1541</v>
      </c>
      <c r="D57" s="243">
        <v>0.5</v>
      </c>
      <c r="E57" s="180" t="s">
        <v>556</v>
      </c>
      <c r="F57" s="168">
        <v>4</v>
      </c>
      <c r="G57" s="168"/>
      <c r="H57" s="168">
        <v>1</v>
      </c>
      <c r="I57" s="323">
        <f t="shared" si="2"/>
        <v>2</v>
      </c>
    </row>
    <row r="58" spans="1:9" ht="15.75" customHeight="1" x14ac:dyDescent="0.3">
      <c r="A58" s="168">
        <v>150</v>
      </c>
      <c r="B58" s="180" t="s">
        <v>660</v>
      </c>
      <c r="C58" s="168" t="s">
        <v>1541</v>
      </c>
      <c r="D58" s="243">
        <v>0.25</v>
      </c>
      <c r="E58" s="180" t="s">
        <v>556</v>
      </c>
      <c r="F58" s="168">
        <v>4</v>
      </c>
      <c r="G58" s="168"/>
      <c r="H58" s="168">
        <v>1</v>
      </c>
      <c r="I58" s="323">
        <f t="shared" si="2"/>
        <v>1</v>
      </c>
    </row>
    <row r="59" spans="1:9" ht="15.75" customHeight="1" x14ac:dyDescent="0.3">
      <c r="A59" s="168">
        <v>160</v>
      </c>
      <c r="B59" s="180" t="s">
        <v>557</v>
      </c>
      <c r="C59" s="168" t="s">
        <v>1542</v>
      </c>
      <c r="D59" s="323">
        <v>0.06</v>
      </c>
      <c r="E59" s="180" t="s">
        <v>556</v>
      </c>
      <c r="F59" s="168">
        <v>1</v>
      </c>
      <c r="G59" s="168"/>
      <c r="H59" s="168">
        <v>1</v>
      </c>
      <c r="I59" s="323">
        <f t="shared" si="2"/>
        <v>0.06</v>
      </c>
    </row>
    <row r="60" spans="1:9" ht="15.75" customHeight="1" x14ac:dyDescent="0.3">
      <c r="A60" s="168">
        <v>170</v>
      </c>
      <c r="B60" s="180" t="s">
        <v>1543</v>
      </c>
      <c r="C60" s="168" t="s">
        <v>1544</v>
      </c>
      <c r="D60" s="323">
        <v>0.5</v>
      </c>
      <c r="E60" s="180" t="s">
        <v>556</v>
      </c>
      <c r="F60" s="168">
        <v>1</v>
      </c>
      <c r="G60" s="168"/>
      <c r="H60" s="168">
        <v>1</v>
      </c>
      <c r="I60" s="323">
        <f t="shared" si="2"/>
        <v>0.5</v>
      </c>
    </row>
    <row r="61" spans="1:9" ht="15.75" customHeight="1" x14ac:dyDescent="0.3">
      <c r="A61" s="168">
        <v>180</v>
      </c>
      <c r="B61" s="180" t="s">
        <v>674</v>
      </c>
      <c r="C61" s="168" t="s">
        <v>1545</v>
      </c>
      <c r="D61" s="243">
        <v>1.5</v>
      </c>
      <c r="E61" s="180" t="s">
        <v>556</v>
      </c>
      <c r="F61" s="168">
        <v>1</v>
      </c>
      <c r="G61" s="168"/>
      <c r="H61" s="168">
        <v>1</v>
      </c>
      <c r="I61" s="323">
        <f t="shared" si="2"/>
        <v>1.5</v>
      </c>
    </row>
    <row r="62" spans="1:9" x14ac:dyDescent="0.3">
      <c r="A62" s="168">
        <v>190</v>
      </c>
      <c r="B62" s="180" t="s">
        <v>557</v>
      </c>
      <c r="C62" s="171" t="s">
        <v>1546</v>
      </c>
      <c r="D62" s="323">
        <v>0.06</v>
      </c>
      <c r="E62" s="168" t="s">
        <v>556</v>
      </c>
      <c r="F62" s="168">
        <v>1</v>
      </c>
      <c r="G62" s="168"/>
      <c r="H62" s="168">
        <v>1</v>
      </c>
      <c r="I62" s="323">
        <f t="shared" si="2"/>
        <v>0.06</v>
      </c>
    </row>
    <row r="63" spans="1:9" x14ac:dyDescent="0.3">
      <c r="A63" s="168">
        <v>200</v>
      </c>
      <c r="B63" s="180" t="s">
        <v>659</v>
      </c>
      <c r="C63" s="168" t="s">
        <v>1547</v>
      </c>
      <c r="D63" s="243">
        <v>0.5</v>
      </c>
      <c r="E63" s="180" t="s">
        <v>556</v>
      </c>
      <c r="F63" s="168">
        <v>2</v>
      </c>
      <c r="G63" s="168"/>
      <c r="H63" s="168">
        <v>1</v>
      </c>
      <c r="I63" s="323">
        <f t="shared" si="2"/>
        <v>1</v>
      </c>
    </row>
    <row r="64" spans="1:9" x14ac:dyDescent="0.3">
      <c r="A64" s="168">
        <v>210</v>
      </c>
      <c r="B64" s="180" t="s">
        <v>660</v>
      </c>
      <c r="C64" s="168" t="s">
        <v>661</v>
      </c>
      <c r="D64" s="243">
        <v>0.25</v>
      </c>
      <c r="E64" s="180" t="s">
        <v>556</v>
      </c>
      <c r="F64" s="168">
        <v>2</v>
      </c>
      <c r="G64" s="168"/>
      <c r="H64" s="168">
        <v>1</v>
      </c>
      <c r="I64" s="323">
        <f t="shared" si="2"/>
        <v>0.5</v>
      </c>
    </row>
    <row r="65" spans="1:9" x14ac:dyDescent="0.3">
      <c r="A65" s="168">
        <v>220</v>
      </c>
      <c r="B65" s="180" t="s">
        <v>749</v>
      </c>
      <c r="C65" s="171" t="s">
        <v>1548</v>
      </c>
      <c r="D65" s="243">
        <v>0.125</v>
      </c>
      <c r="E65" s="180" t="s">
        <v>556</v>
      </c>
      <c r="F65" s="168">
        <v>1</v>
      </c>
      <c r="G65" s="168"/>
      <c r="H65" s="168">
        <v>1</v>
      </c>
      <c r="I65" s="323">
        <f t="shared" si="2"/>
        <v>0.125</v>
      </c>
    </row>
    <row r="66" spans="1:9" x14ac:dyDescent="0.3">
      <c r="A66" s="168">
        <v>230</v>
      </c>
      <c r="B66" s="180" t="s">
        <v>749</v>
      </c>
      <c r="C66" s="168" t="s">
        <v>1717</v>
      </c>
      <c r="D66" s="243">
        <v>0.1</v>
      </c>
      <c r="E66" s="180" t="s">
        <v>556</v>
      </c>
      <c r="F66" s="168">
        <v>1</v>
      </c>
      <c r="G66" s="168"/>
      <c r="H66" s="168">
        <v>1</v>
      </c>
      <c r="I66" s="323">
        <f t="shared" si="2"/>
        <v>0.1</v>
      </c>
    </row>
    <row r="67" spans="1:9" x14ac:dyDescent="0.3">
      <c r="A67" s="168">
        <v>240</v>
      </c>
      <c r="B67" s="180" t="s">
        <v>659</v>
      </c>
      <c r="C67" s="168" t="s">
        <v>1718</v>
      </c>
      <c r="D67" s="243">
        <v>0.5</v>
      </c>
      <c r="E67" s="180" t="s">
        <v>556</v>
      </c>
      <c r="F67" s="168">
        <v>2</v>
      </c>
      <c r="G67" s="168"/>
      <c r="H67" s="168">
        <v>1</v>
      </c>
      <c r="I67" s="323">
        <f t="shared" si="2"/>
        <v>1</v>
      </c>
    </row>
    <row r="68" spans="1:9" x14ac:dyDescent="0.3">
      <c r="A68" s="168">
        <v>250</v>
      </c>
      <c r="B68" s="180" t="s">
        <v>557</v>
      </c>
      <c r="C68" s="168" t="s">
        <v>1549</v>
      </c>
      <c r="D68" s="323">
        <v>0.06</v>
      </c>
      <c r="E68" s="168" t="s">
        <v>556</v>
      </c>
      <c r="F68" s="168">
        <v>1</v>
      </c>
      <c r="G68" s="168"/>
      <c r="H68" s="168">
        <v>1</v>
      </c>
      <c r="I68" s="323">
        <f t="shared" si="2"/>
        <v>0.06</v>
      </c>
    </row>
    <row r="69" spans="1:9" x14ac:dyDescent="0.3">
      <c r="A69" s="168">
        <v>260</v>
      </c>
      <c r="B69" s="180" t="s">
        <v>659</v>
      </c>
      <c r="C69" s="171" t="s">
        <v>1550</v>
      </c>
      <c r="D69" s="243">
        <v>0.5</v>
      </c>
      <c r="E69" s="180" t="s">
        <v>556</v>
      </c>
      <c r="F69" s="168">
        <v>3</v>
      </c>
      <c r="G69" s="168"/>
      <c r="H69" s="168">
        <v>1</v>
      </c>
      <c r="I69" s="323">
        <f t="shared" si="2"/>
        <v>1.5</v>
      </c>
    </row>
    <row r="70" spans="1:9" x14ac:dyDescent="0.3">
      <c r="A70" s="168">
        <v>270</v>
      </c>
      <c r="B70" s="180" t="s">
        <v>660</v>
      </c>
      <c r="C70" s="168" t="s">
        <v>1012</v>
      </c>
      <c r="D70" s="243">
        <v>0.25</v>
      </c>
      <c r="E70" s="180" t="s">
        <v>556</v>
      </c>
      <c r="F70" s="168">
        <v>3</v>
      </c>
      <c r="G70" s="168"/>
      <c r="H70" s="168">
        <v>1</v>
      </c>
      <c r="I70" s="323">
        <f t="shared" si="2"/>
        <v>0.75</v>
      </c>
    </row>
    <row r="71" spans="1:9" x14ac:dyDescent="0.3">
      <c r="A71" s="168">
        <v>280</v>
      </c>
      <c r="B71" s="180" t="s">
        <v>1131</v>
      </c>
      <c r="C71" s="171" t="s">
        <v>1551</v>
      </c>
      <c r="D71" s="323">
        <v>0.06</v>
      </c>
      <c r="E71" s="168" t="s">
        <v>556</v>
      </c>
      <c r="F71" s="168">
        <v>2</v>
      </c>
      <c r="G71" s="168"/>
      <c r="H71" s="168">
        <v>1</v>
      </c>
      <c r="I71" s="323">
        <f t="shared" si="2"/>
        <v>0.12</v>
      </c>
    </row>
    <row r="72" spans="1:9" x14ac:dyDescent="0.3">
      <c r="A72" s="168">
        <v>290</v>
      </c>
      <c r="B72" s="171" t="s">
        <v>1523</v>
      </c>
      <c r="C72" s="171" t="s">
        <v>1552</v>
      </c>
      <c r="D72" s="323">
        <v>0.8</v>
      </c>
      <c r="E72" s="168" t="s">
        <v>644</v>
      </c>
      <c r="F72" s="168">
        <v>0.25</v>
      </c>
      <c r="G72" s="168"/>
      <c r="H72" s="168">
        <v>1</v>
      </c>
      <c r="I72" s="323">
        <f t="shared" si="2"/>
        <v>0.2</v>
      </c>
    </row>
    <row r="73" spans="1:9" x14ac:dyDescent="0.3">
      <c r="A73" s="168">
        <v>300</v>
      </c>
      <c r="B73" s="180" t="s">
        <v>557</v>
      </c>
      <c r="C73" s="171" t="s">
        <v>1553</v>
      </c>
      <c r="D73" s="323">
        <v>0.06</v>
      </c>
      <c r="E73" s="168" t="s">
        <v>556</v>
      </c>
      <c r="F73" s="168">
        <v>1</v>
      </c>
      <c r="G73" s="168"/>
      <c r="H73" s="168">
        <v>1</v>
      </c>
      <c r="I73" s="323">
        <f t="shared" si="2"/>
        <v>0.06</v>
      </c>
    </row>
    <row r="74" spans="1:9" x14ac:dyDescent="0.3">
      <c r="A74" s="168">
        <v>310</v>
      </c>
      <c r="B74" s="180" t="s">
        <v>659</v>
      </c>
      <c r="C74" s="168" t="s">
        <v>1554</v>
      </c>
      <c r="D74" s="243">
        <v>0.5</v>
      </c>
      <c r="E74" s="180" t="s">
        <v>556</v>
      </c>
      <c r="F74" s="168">
        <v>4</v>
      </c>
      <c r="G74" s="168"/>
      <c r="H74" s="168">
        <v>1</v>
      </c>
      <c r="I74" s="323">
        <f t="shared" si="2"/>
        <v>2</v>
      </c>
    </row>
    <row r="75" spans="1:9" x14ac:dyDescent="0.3">
      <c r="A75" s="168">
        <v>320</v>
      </c>
      <c r="B75" s="180" t="s">
        <v>1543</v>
      </c>
      <c r="C75" s="168" t="s">
        <v>1555</v>
      </c>
      <c r="D75" s="243">
        <v>0.5</v>
      </c>
      <c r="E75" s="180" t="s">
        <v>556</v>
      </c>
      <c r="F75" s="168">
        <v>2</v>
      </c>
      <c r="G75" s="168" t="s">
        <v>1556</v>
      </c>
      <c r="H75" s="168">
        <v>0.8</v>
      </c>
      <c r="I75" s="323">
        <f t="shared" si="2"/>
        <v>0.8</v>
      </c>
    </row>
    <row r="76" spans="1:9" x14ac:dyDescent="0.3">
      <c r="A76" s="168">
        <v>330</v>
      </c>
      <c r="B76" s="180" t="s">
        <v>749</v>
      </c>
      <c r="C76" s="171" t="s">
        <v>1557</v>
      </c>
      <c r="D76" s="243">
        <v>0.125</v>
      </c>
      <c r="E76" s="180" t="s">
        <v>556</v>
      </c>
      <c r="F76" s="168">
        <v>1</v>
      </c>
      <c r="G76" s="168"/>
      <c r="H76" s="168">
        <v>1</v>
      </c>
      <c r="I76" s="323">
        <f t="shared" si="2"/>
        <v>0.125</v>
      </c>
    </row>
    <row r="77" spans="1:9" x14ac:dyDescent="0.3">
      <c r="A77" s="168">
        <v>340</v>
      </c>
      <c r="B77" s="180" t="s">
        <v>557</v>
      </c>
      <c r="C77" s="171" t="s">
        <v>1558</v>
      </c>
      <c r="D77" s="243">
        <v>0.06</v>
      </c>
      <c r="E77" s="168" t="s">
        <v>556</v>
      </c>
      <c r="F77" s="168">
        <v>2</v>
      </c>
      <c r="G77" s="168"/>
      <c r="H77" s="168">
        <v>1</v>
      </c>
      <c r="I77" s="323">
        <f>D77*F77*H77</f>
        <v>0.12</v>
      </c>
    </row>
    <row r="78" spans="1:9" x14ac:dyDescent="0.3">
      <c r="A78" s="168">
        <v>350</v>
      </c>
      <c r="B78" s="180" t="s">
        <v>749</v>
      </c>
      <c r="C78" s="171" t="s">
        <v>1559</v>
      </c>
      <c r="D78" s="243">
        <v>0.125</v>
      </c>
      <c r="E78" s="168" t="s">
        <v>556</v>
      </c>
      <c r="F78" s="168">
        <v>2</v>
      </c>
      <c r="G78" s="168"/>
      <c r="H78" s="168">
        <v>1</v>
      </c>
      <c r="I78" s="323">
        <f t="shared" si="2"/>
        <v>0.25</v>
      </c>
    </row>
    <row r="79" spans="1:9" x14ac:dyDescent="0.3">
      <c r="A79" s="168">
        <v>360</v>
      </c>
      <c r="B79" s="180" t="s">
        <v>1543</v>
      </c>
      <c r="C79" s="171" t="s">
        <v>1559</v>
      </c>
      <c r="D79" s="243">
        <v>0.5</v>
      </c>
      <c r="E79" s="180" t="s">
        <v>556</v>
      </c>
      <c r="F79" s="168">
        <v>2</v>
      </c>
      <c r="G79" s="168"/>
      <c r="H79" s="168">
        <v>1</v>
      </c>
      <c r="I79" s="323">
        <f t="shared" si="2"/>
        <v>1</v>
      </c>
    </row>
    <row r="80" spans="1:9" x14ac:dyDescent="0.3">
      <c r="A80" s="168">
        <v>370</v>
      </c>
      <c r="B80" s="180" t="s">
        <v>557</v>
      </c>
      <c r="C80" s="168" t="s">
        <v>1560</v>
      </c>
      <c r="D80" s="323">
        <v>0.06</v>
      </c>
      <c r="E80" s="168" t="s">
        <v>556</v>
      </c>
      <c r="F80" s="168">
        <v>6</v>
      </c>
      <c r="G80" s="168"/>
      <c r="H80" s="168">
        <v>1</v>
      </c>
      <c r="I80" s="323">
        <f t="shared" si="2"/>
        <v>0.36</v>
      </c>
    </row>
    <row r="81" spans="1:9" x14ac:dyDescent="0.3">
      <c r="A81" s="168">
        <v>380</v>
      </c>
      <c r="B81" s="180" t="s">
        <v>1086</v>
      </c>
      <c r="C81" s="168" t="s">
        <v>1560</v>
      </c>
      <c r="D81" s="323">
        <v>0.25</v>
      </c>
      <c r="E81" s="168" t="s">
        <v>556</v>
      </c>
      <c r="F81" s="168">
        <v>6</v>
      </c>
      <c r="G81" s="168"/>
      <c r="H81" s="168">
        <v>1</v>
      </c>
      <c r="I81" s="323">
        <f t="shared" si="2"/>
        <v>1.5</v>
      </c>
    </row>
    <row r="82" spans="1:9" x14ac:dyDescent="0.3">
      <c r="A82" s="168">
        <v>390</v>
      </c>
      <c r="B82" s="180" t="s">
        <v>557</v>
      </c>
      <c r="C82" s="171" t="s">
        <v>1561</v>
      </c>
      <c r="D82" s="243">
        <v>0.06</v>
      </c>
      <c r="E82" s="168" t="s">
        <v>556</v>
      </c>
      <c r="F82" s="168">
        <v>2</v>
      </c>
      <c r="G82" s="168"/>
      <c r="H82" s="168">
        <v>1</v>
      </c>
      <c r="I82" s="323">
        <f t="shared" si="2"/>
        <v>0.12</v>
      </c>
    </row>
    <row r="83" spans="1:9" x14ac:dyDescent="0.3">
      <c r="A83" s="168">
        <v>400</v>
      </c>
      <c r="B83" s="180" t="s">
        <v>1543</v>
      </c>
      <c r="C83" s="171" t="s">
        <v>1561</v>
      </c>
      <c r="D83" s="323">
        <v>0.5</v>
      </c>
      <c r="E83" s="168" t="s">
        <v>556</v>
      </c>
      <c r="F83" s="168">
        <v>2</v>
      </c>
      <c r="G83" s="168"/>
      <c r="H83" s="168">
        <v>1</v>
      </c>
      <c r="I83" s="323">
        <f t="shared" si="2"/>
        <v>1</v>
      </c>
    </row>
    <row r="84" spans="1:9" x14ac:dyDescent="0.3">
      <c r="A84" s="168">
        <v>410</v>
      </c>
      <c r="B84" s="180" t="s">
        <v>1562</v>
      </c>
      <c r="C84" s="171" t="s">
        <v>1563</v>
      </c>
      <c r="D84" s="243">
        <v>1</v>
      </c>
      <c r="E84" s="168" t="s">
        <v>556</v>
      </c>
      <c r="F84" s="168">
        <v>4</v>
      </c>
      <c r="G84" s="168"/>
      <c r="H84" s="168">
        <v>1</v>
      </c>
      <c r="I84" s="323">
        <f t="shared" si="2"/>
        <v>4</v>
      </c>
    </row>
    <row r="85" spans="1:9" x14ac:dyDescent="0.3">
      <c r="A85" s="168">
        <v>420</v>
      </c>
      <c r="B85" s="180" t="s">
        <v>749</v>
      </c>
      <c r="C85" s="171" t="s">
        <v>1564</v>
      </c>
      <c r="D85" s="243">
        <v>0.125</v>
      </c>
      <c r="E85" s="168" t="s">
        <v>556</v>
      </c>
      <c r="F85" s="168">
        <v>1</v>
      </c>
      <c r="G85" s="168"/>
      <c r="H85" s="168">
        <v>1</v>
      </c>
      <c r="I85" s="323">
        <f t="shared" si="2"/>
        <v>0.125</v>
      </c>
    </row>
    <row r="86" spans="1:9" x14ac:dyDescent="0.3">
      <c r="A86" s="168">
        <v>430</v>
      </c>
      <c r="B86" s="180" t="s">
        <v>760</v>
      </c>
      <c r="C86" s="171" t="s">
        <v>1565</v>
      </c>
      <c r="D86" s="243">
        <v>0.1875</v>
      </c>
      <c r="E86" s="168" t="s">
        <v>556</v>
      </c>
      <c r="F86" s="168">
        <v>2</v>
      </c>
      <c r="G86" s="168"/>
      <c r="H86" s="168">
        <v>1</v>
      </c>
      <c r="I86" s="323">
        <f t="shared" si="2"/>
        <v>0.375</v>
      </c>
    </row>
    <row r="87" spans="1:9" x14ac:dyDescent="0.3">
      <c r="A87" s="168">
        <v>440</v>
      </c>
      <c r="B87" s="180" t="s">
        <v>749</v>
      </c>
      <c r="C87" s="171" t="s">
        <v>1566</v>
      </c>
      <c r="D87" s="243">
        <v>0.125</v>
      </c>
      <c r="E87" s="168" t="s">
        <v>556</v>
      </c>
      <c r="F87" s="168">
        <v>2</v>
      </c>
      <c r="G87" s="168"/>
      <c r="H87" s="168">
        <v>1</v>
      </c>
      <c r="I87" s="323">
        <f t="shared" si="2"/>
        <v>0.25</v>
      </c>
    </row>
    <row r="88" spans="1:9" x14ac:dyDescent="0.3">
      <c r="A88" s="168">
        <v>450</v>
      </c>
      <c r="B88" s="180" t="s">
        <v>659</v>
      </c>
      <c r="C88" s="171" t="s">
        <v>1567</v>
      </c>
      <c r="D88" s="243">
        <v>0.5</v>
      </c>
      <c r="E88" s="180" t="s">
        <v>556</v>
      </c>
      <c r="F88" s="168">
        <v>2</v>
      </c>
      <c r="G88" s="168"/>
      <c r="H88" s="168">
        <v>1</v>
      </c>
      <c r="I88" s="323">
        <f t="shared" si="2"/>
        <v>1</v>
      </c>
    </row>
    <row r="89" spans="1:9" ht="15.75" customHeight="1" x14ac:dyDescent="0.3">
      <c r="A89" s="168">
        <v>460</v>
      </c>
      <c r="B89" s="180" t="s">
        <v>660</v>
      </c>
      <c r="C89" s="171" t="s">
        <v>1567</v>
      </c>
      <c r="D89" s="243">
        <v>0.25</v>
      </c>
      <c r="E89" s="180" t="s">
        <v>556</v>
      </c>
      <c r="F89" s="168">
        <v>1</v>
      </c>
      <c r="G89" s="168"/>
      <c r="H89" s="168">
        <v>1</v>
      </c>
      <c r="I89" s="323">
        <f t="shared" si="2"/>
        <v>0.25</v>
      </c>
    </row>
    <row r="90" spans="1:9" x14ac:dyDescent="0.3">
      <c r="A90" s="168">
        <v>470</v>
      </c>
      <c r="B90" s="180" t="s">
        <v>1369</v>
      </c>
      <c r="C90" s="171" t="s">
        <v>1568</v>
      </c>
      <c r="D90" s="323">
        <v>5</v>
      </c>
      <c r="E90" s="168" t="s">
        <v>556</v>
      </c>
      <c r="F90" s="168">
        <v>1</v>
      </c>
      <c r="G90" s="168"/>
      <c r="H90" s="168">
        <v>1</v>
      </c>
      <c r="I90" s="323">
        <f t="shared" si="2"/>
        <v>5</v>
      </c>
    </row>
    <row r="91" spans="1:9" x14ac:dyDescent="0.3">
      <c r="A91" s="168">
        <v>480</v>
      </c>
      <c r="B91" s="180" t="s">
        <v>557</v>
      </c>
      <c r="C91" s="171" t="s">
        <v>1569</v>
      </c>
      <c r="D91" s="323">
        <v>0.06</v>
      </c>
      <c r="E91" s="168" t="s">
        <v>556</v>
      </c>
      <c r="F91" s="168">
        <v>4</v>
      </c>
      <c r="G91" s="168"/>
      <c r="H91" s="168">
        <v>1</v>
      </c>
      <c r="I91" s="323">
        <f t="shared" si="2"/>
        <v>0.24</v>
      </c>
    </row>
    <row r="92" spans="1:9" ht="15.75" customHeight="1" x14ac:dyDescent="0.3">
      <c r="A92" s="168">
        <v>490</v>
      </c>
      <c r="B92" s="180" t="s">
        <v>656</v>
      </c>
      <c r="C92" s="171" t="s">
        <v>1569</v>
      </c>
      <c r="D92" s="323">
        <v>0.25</v>
      </c>
      <c r="E92" s="168" t="s">
        <v>556</v>
      </c>
      <c r="F92" s="168">
        <v>8</v>
      </c>
      <c r="G92" s="168"/>
      <c r="H92" s="168">
        <v>1</v>
      </c>
      <c r="I92" s="323">
        <f t="shared" si="2"/>
        <v>2</v>
      </c>
    </row>
    <row r="93" spans="1:9" x14ac:dyDescent="0.3">
      <c r="A93" s="168">
        <v>500</v>
      </c>
      <c r="B93" s="180" t="s">
        <v>557</v>
      </c>
      <c r="C93" s="171" t="s">
        <v>1570</v>
      </c>
      <c r="D93" s="323">
        <v>0.06</v>
      </c>
      <c r="E93" s="168" t="s">
        <v>556</v>
      </c>
      <c r="F93" s="168">
        <v>2</v>
      </c>
      <c r="G93" s="168"/>
      <c r="H93" s="168">
        <v>1</v>
      </c>
      <c r="I93" s="323">
        <f t="shared" si="2"/>
        <v>0.12</v>
      </c>
    </row>
    <row r="94" spans="1:9" x14ac:dyDescent="0.3">
      <c r="A94" s="168">
        <v>510</v>
      </c>
      <c r="B94" s="180" t="s">
        <v>659</v>
      </c>
      <c r="C94" s="168" t="s">
        <v>1571</v>
      </c>
      <c r="D94" s="243">
        <v>0.5</v>
      </c>
      <c r="E94" s="180" t="s">
        <v>556</v>
      </c>
      <c r="F94" s="168">
        <v>2</v>
      </c>
      <c r="G94" s="168"/>
      <c r="H94" s="168">
        <v>1</v>
      </c>
      <c r="I94" s="323">
        <f t="shared" si="2"/>
        <v>1</v>
      </c>
    </row>
    <row r="95" spans="1:9" x14ac:dyDescent="0.3">
      <c r="A95" s="168">
        <v>520</v>
      </c>
      <c r="B95" s="180" t="s">
        <v>660</v>
      </c>
      <c r="C95" s="168" t="s">
        <v>661</v>
      </c>
      <c r="D95" s="243">
        <v>0.25</v>
      </c>
      <c r="E95" s="180" t="s">
        <v>556</v>
      </c>
      <c r="F95" s="168">
        <v>2</v>
      </c>
      <c r="G95" s="168"/>
      <c r="H95" s="168">
        <v>1</v>
      </c>
      <c r="I95" s="323">
        <f t="shared" si="2"/>
        <v>0.5</v>
      </c>
    </row>
    <row r="96" spans="1:9" x14ac:dyDescent="0.3">
      <c r="A96" s="168">
        <v>530</v>
      </c>
      <c r="B96" s="180" t="s">
        <v>749</v>
      </c>
      <c r="C96" s="171" t="s">
        <v>1572</v>
      </c>
      <c r="D96" s="243">
        <v>0.125</v>
      </c>
      <c r="E96" s="180" t="s">
        <v>556</v>
      </c>
      <c r="F96" s="168">
        <v>1</v>
      </c>
      <c r="G96" s="168"/>
      <c r="H96" s="168">
        <v>1</v>
      </c>
      <c r="I96" s="323">
        <f t="shared" si="2"/>
        <v>0.125</v>
      </c>
    </row>
    <row r="97" spans="1:9" x14ac:dyDescent="0.3">
      <c r="A97" s="168">
        <v>540</v>
      </c>
      <c r="B97" s="180" t="s">
        <v>749</v>
      </c>
      <c r="C97" s="171" t="s">
        <v>1573</v>
      </c>
      <c r="D97" s="243">
        <v>0.125</v>
      </c>
      <c r="E97" s="180" t="s">
        <v>556</v>
      </c>
      <c r="F97" s="168">
        <v>1</v>
      </c>
      <c r="G97" s="168"/>
      <c r="H97" s="168">
        <v>1</v>
      </c>
      <c r="I97" s="323">
        <f t="shared" si="2"/>
        <v>0.125</v>
      </c>
    </row>
    <row r="98" spans="1:9" ht="15.75" customHeight="1" x14ac:dyDescent="0.3">
      <c r="A98" s="168">
        <v>550</v>
      </c>
      <c r="B98" s="180" t="s">
        <v>659</v>
      </c>
      <c r="C98" s="168" t="s">
        <v>1574</v>
      </c>
      <c r="D98" s="243">
        <v>0.5</v>
      </c>
      <c r="E98" s="180" t="s">
        <v>556</v>
      </c>
      <c r="F98" s="168">
        <v>1</v>
      </c>
      <c r="G98" s="168"/>
      <c r="H98" s="168">
        <v>1</v>
      </c>
      <c r="I98" s="323">
        <f t="shared" si="2"/>
        <v>0.5</v>
      </c>
    </row>
    <row r="99" spans="1:9" ht="15.75" customHeight="1" x14ac:dyDescent="0.3">
      <c r="A99" s="168">
        <v>560</v>
      </c>
      <c r="B99" s="180" t="s">
        <v>660</v>
      </c>
      <c r="C99" s="168" t="s">
        <v>950</v>
      </c>
      <c r="D99" s="243">
        <v>0.25</v>
      </c>
      <c r="E99" s="180" t="s">
        <v>556</v>
      </c>
      <c r="F99" s="168">
        <v>1</v>
      </c>
      <c r="G99" s="168"/>
      <c r="H99" s="168">
        <v>1</v>
      </c>
      <c r="I99" s="323">
        <f t="shared" si="2"/>
        <v>0.25</v>
      </c>
    </row>
    <row r="100" spans="1:9" ht="15.75" customHeight="1" x14ac:dyDescent="0.3">
      <c r="A100" s="168">
        <v>570</v>
      </c>
      <c r="B100" s="180" t="s">
        <v>749</v>
      </c>
      <c r="C100" s="168" t="s">
        <v>1575</v>
      </c>
      <c r="D100" s="243">
        <v>0.125</v>
      </c>
      <c r="E100" s="180" t="s">
        <v>556</v>
      </c>
      <c r="F100" s="168">
        <v>1</v>
      </c>
      <c r="G100" s="168"/>
      <c r="H100" s="168">
        <v>1</v>
      </c>
      <c r="I100" s="323">
        <f t="shared" si="2"/>
        <v>0.125</v>
      </c>
    </row>
    <row r="101" spans="1:9" ht="15.75" customHeight="1" x14ac:dyDescent="0.3">
      <c r="A101" s="168">
        <v>580</v>
      </c>
      <c r="B101" s="180" t="s">
        <v>1576</v>
      </c>
      <c r="C101" s="168" t="s">
        <v>1575</v>
      </c>
      <c r="D101" s="323">
        <v>0.25</v>
      </c>
      <c r="E101" s="180" t="s">
        <v>556</v>
      </c>
      <c r="F101" s="168">
        <v>1</v>
      </c>
      <c r="G101" s="168"/>
      <c r="H101" s="168">
        <v>1</v>
      </c>
      <c r="I101" s="323">
        <f t="shared" si="2"/>
        <v>0.25</v>
      </c>
    </row>
    <row r="102" spans="1:9" ht="15.75" customHeight="1" x14ac:dyDescent="0.3">
      <c r="A102" s="168">
        <v>590</v>
      </c>
      <c r="B102" s="180" t="s">
        <v>749</v>
      </c>
      <c r="C102" s="168" t="s">
        <v>1577</v>
      </c>
      <c r="D102" s="243">
        <v>0.125</v>
      </c>
      <c r="E102" s="180" t="s">
        <v>556</v>
      </c>
      <c r="F102" s="168">
        <v>1</v>
      </c>
      <c r="G102" s="168"/>
      <c r="H102" s="168">
        <v>1</v>
      </c>
      <c r="I102" s="323">
        <f t="shared" si="2"/>
        <v>0.125</v>
      </c>
    </row>
    <row r="103" spans="1:9" ht="15.75" customHeight="1" x14ac:dyDescent="0.3">
      <c r="A103" s="168">
        <v>600</v>
      </c>
      <c r="B103" s="180" t="s">
        <v>1543</v>
      </c>
      <c r="C103" s="168" t="s">
        <v>1577</v>
      </c>
      <c r="D103" s="323">
        <v>0.5</v>
      </c>
      <c r="E103" s="180" t="s">
        <v>556</v>
      </c>
      <c r="F103" s="168">
        <v>1</v>
      </c>
      <c r="G103" s="168"/>
      <c r="H103" s="168">
        <v>1</v>
      </c>
      <c r="I103" s="323">
        <f t="shared" si="2"/>
        <v>0.5</v>
      </c>
    </row>
    <row r="104" spans="1:9" ht="15.75" customHeight="1" x14ac:dyDescent="0.3">
      <c r="A104" s="168">
        <v>610</v>
      </c>
      <c r="B104" s="180" t="s">
        <v>1562</v>
      </c>
      <c r="C104" s="168" t="s">
        <v>1578</v>
      </c>
      <c r="D104" s="243">
        <v>1</v>
      </c>
      <c r="E104" s="180" t="s">
        <v>556</v>
      </c>
      <c r="F104" s="168">
        <v>1</v>
      </c>
      <c r="G104" s="168"/>
      <c r="H104" s="168">
        <v>1</v>
      </c>
      <c r="I104" s="323">
        <f t="shared" si="2"/>
        <v>1</v>
      </c>
    </row>
    <row r="105" spans="1:9" x14ac:dyDescent="0.3">
      <c r="A105" s="168">
        <v>620</v>
      </c>
      <c r="B105" s="180" t="s">
        <v>557</v>
      </c>
      <c r="C105" s="171" t="s">
        <v>1579</v>
      </c>
      <c r="D105" s="323">
        <v>0.06</v>
      </c>
      <c r="E105" s="180" t="s">
        <v>556</v>
      </c>
      <c r="F105" s="168">
        <v>1</v>
      </c>
      <c r="G105" s="168"/>
      <c r="H105" s="168">
        <v>1</v>
      </c>
      <c r="I105" s="323">
        <f t="shared" si="2"/>
        <v>0.06</v>
      </c>
    </row>
    <row r="106" spans="1:9" ht="15.75" customHeight="1" x14ac:dyDescent="0.3">
      <c r="A106" s="168">
        <v>630</v>
      </c>
      <c r="B106" s="180" t="s">
        <v>659</v>
      </c>
      <c r="C106" s="168" t="s">
        <v>884</v>
      </c>
      <c r="D106" s="243">
        <v>0.5</v>
      </c>
      <c r="E106" s="180" t="s">
        <v>556</v>
      </c>
      <c r="F106" s="168">
        <v>1</v>
      </c>
      <c r="G106" s="168"/>
      <c r="H106" s="168">
        <v>1</v>
      </c>
      <c r="I106" s="323">
        <f t="shared" si="2"/>
        <v>0.5</v>
      </c>
    </row>
    <row r="107" spans="1:9" ht="15.75" customHeight="1" x14ac:dyDescent="0.3">
      <c r="A107" s="168">
        <v>640</v>
      </c>
      <c r="B107" s="180" t="s">
        <v>660</v>
      </c>
      <c r="C107" s="168" t="s">
        <v>818</v>
      </c>
      <c r="D107" s="243">
        <v>0.25</v>
      </c>
      <c r="E107" s="180" t="s">
        <v>556</v>
      </c>
      <c r="F107" s="168">
        <v>1</v>
      </c>
      <c r="G107" s="168"/>
      <c r="H107" s="168">
        <v>1</v>
      </c>
      <c r="I107" s="323">
        <f t="shared" si="2"/>
        <v>0.25</v>
      </c>
    </row>
    <row r="108" spans="1:9" ht="15.75" customHeight="1" x14ac:dyDescent="0.3">
      <c r="A108" s="168">
        <v>650</v>
      </c>
      <c r="B108" s="180" t="s">
        <v>749</v>
      </c>
      <c r="C108" s="168" t="s">
        <v>1580</v>
      </c>
      <c r="D108" s="243">
        <v>0.125</v>
      </c>
      <c r="E108" s="180" t="s">
        <v>556</v>
      </c>
      <c r="F108" s="168">
        <v>1</v>
      </c>
      <c r="G108" s="168"/>
      <c r="H108" s="168">
        <v>1</v>
      </c>
      <c r="I108" s="323">
        <f t="shared" ref="I108:I116" si="3">D108*F108*H108</f>
        <v>0.125</v>
      </c>
    </row>
    <row r="109" spans="1:9" x14ac:dyDescent="0.3">
      <c r="A109" s="168">
        <v>660</v>
      </c>
      <c r="B109" s="180" t="s">
        <v>557</v>
      </c>
      <c r="C109" s="171" t="s">
        <v>1581</v>
      </c>
      <c r="D109" s="323">
        <v>0.06</v>
      </c>
      <c r="E109" s="180" t="s">
        <v>556</v>
      </c>
      <c r="F109" s="168">
        <v>1</v>
      </c>
      <c r="G109" s="168"/>
      <c r="H109" s="168">
        <v>1</v>
      </c>
      <c r="I109" s="323">
        <f t="shared" si="3"/>
        <v>0.06</v>
      </c>
    </row>
    <row r="110" spans="1:9" ht="15.75" customHeight="1" x14ac:dyDescent="0.3">
      <c r="A110" s="168">
        <v>670</v>
      </c>
      <c r="B110" s="180" t="s">
        <v>659</v>
      </c>
      <c r="C110" s="168" t="s">
        <v>884</v>
      </c>
      <c r="D110" s="243">
        <v>0.5</v>
      </c>
      <c r="E110" s="180" t="s">
        <v>556</v>
      </c>
      <c r="F110" s="168">
        <v>1</v>
      </c>
      <c r="G110" s="168"/>
      <c r="H110" s="168">
        <v>1</v>
      </c>
      <c r="I110" s="323">
        <f t="shared" si="3"/>
        <v>0.5</v>
      </c>
    </row>
    <row r="111" spans="1:9" ht="15.75" customHeight="1" x14ac:dyDescent="0.3">
      <c r="A111" s="168">
        <v>680</v>
      </c>
      <c r="B111" s="180" t="s">
        <v>660</v>
      </c>
      <c r="C111" s="168" t="s">
        <v>818</v>
      </c>
      <c r="D111" s="243">
        <v>0.25</v>
      </c>
      <c r="E111" s="180" t="s">
        <v>556</v>
      </c>
      <c r="F111" s="168">
        <v>1</v>
      </c>
      <c r="G111" s="168"/>
      <c r="H111" s="168">
        <v>1</v>
      </c>
      <c r="I111" s="323">
        <f t="shared" si="3"/>
        <v>0.25</v>
      </c>
    </row>
    <row r="112" spans="1:9" ht="15.75" customHeight="1" x14ac:dyDescent="0.3">
      <c r="A112" s="168">
        <v>690</v>
      </c>
      <c r="B112" s="180" t="s">
        <v>816</v>
      </c>
      <c r="C112" s="168" t="s">
        <v>1582</v>
      </c>
      <c r="D112" s="243">
        <v>0.375</v>
      </c>
      <c r="E112" s="180" t="s">
        <v>556</v>
      </c>
      <c r="F112" s="168">
        <v>1</v>
      </c>
      <c r="G112" s="168"/>
      <c r="H112" s="168">
        <v>1</v>
      </c>
      <c r="I112" s="323">
        <f t="shared" si="3"/>
        <v>0.375</v>
      </c>
    </row>
    <row r="113" spans="1:10" ht="15.75" customHeight="1" x14ac:dyDescent="0.3">
      <c r="A113" s="168">
        <v>700</v>
      </c>
      <c r="B113" s="180" t="s">
        <v>559</v>
      </c>
      <c r="C113" s="168" t="s">
        <v>1583</v>
      </c>
      <c r="D113" s="243">
        <v>0.75</v>
      </c>
      <c r="E113" s="180" t="s">
        <v>556</v>
      </c>
      <c r="F113" s="168">
        <v>4</v>
      </c>
      <c r="G113" s="168"/>
      <c r="H113" s="168">
        <v>1</v>
      </c>
      <c r="I113" s="323">
        <f t="shared" si="3"/>
        <v>3</v>
      </c>
    </row>
    <row r="114" spans="1:10" ht="15.75" customHeight="1" x14ac:dyDescent="0.3">
      <c r="A114" s="168">
        <v>710</v>
      </c>
      <c r="B114" s="180" t="s">
        <v>616</v>
      </c>
      <c r="C114" s="168" t="s">
        <v>1584</v>
      </c>
      <c r="D114" s="243">
        <v>0.25</v>
      </c>
      <c r="E114" s="180" t="s">
        <v>556</v>
      </c>
      <c r="F114" s="168">
        <v>4</v>
      </c>
      <c r="G114" s="168"/>
      <c r="H114" s="168">
        <v>1</v>
      </c>
      <c r="I114" s="323">
        <f t="shared" si="3"/>
        <v>1</v>
      </c>
    </row>
    <row r="115" spans="1:10" ht="15.75" customHeight="1" x14ac:dyDescent="0.3">
      <c r="A115" s="168">
        <v>720</v>
      </c>
      <c r="B115" s="180" t="s">
        <v>749</v>
      </c>
      <c r="C115" s="168" t="s">
        <v>1585</v>
      </c>
      <c r="D115" s="243">
        <v>0.125</v>
      </c>
      <c r="E115" s="180" t="s">
        <v>556</v>
      </c>
      <c r="F115" s="168">
        <v>1</v>
      </c>
      <c r="G115" s="168"/>
      <c r="H115" s="168">
        <v>1</v>
      </c>
      <c r="I115" s="323">
        <f t="shared" si="3"/>
        <v>0.125</v>
      </c>
    </row>
    <row r="116" spans="1:10" ht="15.75" customHeight="1" x14ac:dyDescent="0.3">
      <c r="A116" s="168">
        <v>730</v>
      </c>
      <c r="B116" s="180" t="s">
        <v>1543</v>
      </c>
      <c r="C116" s="168" t="s">
        <v>1585</v>
      </c>
      <c r="D116" s="323">
        <v>0.5</v>
      </c>
      <c r="E116" s="180" t="s">
        <v>556</v>
      </c>
      <c r="F116" s="168">
        <v>1</v>
      </c>
      <c r="G116" s="168"/>
      <c r="H116" s="168">
        <v>1</v>
      </c>
      <c r="I116" s="323">
        <f t="shared" si="3"/>
        <v>0.5</v>
      </c>
    </row>
    <row r="117" spans="1:10" s="178" customFormat="1" x14ac:dyDescent="0.3">
      <c r="B117" s="598"/>
      <c r="H117" s="568" t="s">
        <v>547</v>
      </c>
      <c r="I117" s="569">
        <f>SUM(I44:I116)</f>
        <v>54.397000000000006</v>
      </c>
    </row>
    <row r="119" spans="1:10" s="178" customFormat="1" x14ac:dyDescent="0.3">
      <c r="A119" s="567" t="s">
        <v>544</v>
      </c>
      <c r="B119" s="567" t="s">
        <v>566</v>
      </c>
      <c r="C119" s="567" t="s">
        <v>549</v>
      </c>
      <c r="D119" s="567" t="s">
        <v>550</v>
      </c>
      <c r="E119" s="567" t="s">
        <v>567</v>
      </c>
      <c r="F119" s="567" t="s">
        <v>568</v>
      </c>
      <c r="G119" s="567" t="s">
        <v>569</v>
      </c>
      <c r="H119" s="567" t="s">
        <v>570</v>
      </c>
      <c r="I119" s="567" t="s">
        <v>28</v>
      </c>
      <c r="J119" s="567" t="s">
        <v>547</v>
      </c>
    </row>
    <row r="120" spans="1:10" x14ac:dyDescent="0.3">
      <c r="A120" s="168">
        <v>10</v>
      </c>
      <c r="B120" s="168" t="s">
        <v>684</v>
      </c>
      <c r="C120" s="168" t="s">
        <v>1586</v>
      </c>
      <c r="D120" s="243">
        <v>0.04</v>
      </c>
      <c r="E120" s="168">
        <v>6</v>
      </c>
      <c r="F120" s="245" t="s">
        <v>573</v>
      </c>
      <c r="G120" s="168">
        <v>16</v>
      </c>
      <c r="H120" s="171" t="s">
        <v>573</v>
      </c>
      <c r="I120" s="327">
        <v>6</v>
      </c>
      <c r="J120" s="323">
        <f t="shared" ref="J120:J150" si="4">D120*I120</f>
        <v>0.24</v>
      </c>
    </row>
    <row r="121" spans="1:10" x14ac:dyDescent="0.3">
      <c r="A121" s="168">
        <v>20</v>
      </c>
      <c r="B121" s="599" t="s">
        <v>618</v>
      </c>
      <c r="C121" s="168" t="s">
        <v>1586</v>
      </c>
      <c r="D121" s="323">
        <v>0.03</v>
      </c>
      <c r="E121" s="168">
        <v>6</v>
      </c>
      <c r="F121" s="245" t="s">
        <v>573</v>
      </c>
      <c r="G121" s="168"/>
      <c r="H121" s="171"/>
      <c r="I121" s="327">
        <v>6</v>
      </c>
      <c r="J121" s="323">
        <f t="shared" si="4"/>
        <v>0.18</v>
      </c>
    </row>
    <row r="122" spans="1:10" x14ac:dyDescent="0.3">
      <c r="A122" s="168">
        <v>30</v>
      </c>
      <c r="B122" s="599" t="s">
        <v>574</v>
      </c>
      <c r="C122" s="168" t="s">
        <v>1586</v>
      </c>
      <c r="D122" s="243">
        <v>0.01</v>
      </c>
      <c r="E122" s="168">
        <v>6</v>
      </c>
      <c r="F122" s="245" t="s">
        <v>573</v>
      </c>
      <c r="G122" s="168"/>
      <c r="H122" s="171"/>
      <c r="I122" s="327">
        <v>6</v>
      </c>
      <c r="J122" s="323">
        <f t="shared" si="4"/>
        <v>0.06</v>
      </c>
    </row>
    <row r="123" spans="1:10" x14ac:dyDescent="0.3">
      <c r="A123" s="168">
        <v>40</v>
      </c>
      <c r="B123" s="168" t="s">
        <v>684</v>
      </c>
      <c r="C123" s="168" t="s">
        <v>1587</v>
      </c>
      <c r="D123" s="243">
        <v>0.02</v>
      </c>
      <c r="E123" s="168">
        <v>4</v>
      </c>
      <c r="F123" s="245" t="s">
        <v>573</v>
      </c>
      <c r="G123" s="168">
        <v>12</v>
      </c>
      <c r="H123" s="171" t="s">
        <v>573</v>
      </c>
      <c r="I123" s="327">
        <v>4</v>
      </c>
      <c r="J123" s="323">
        <f t="shared" si="4"/>
        <v>0.08</v>
      </c>
    </row>
    <row r="124" spans="1:10" x14ac:dyDescent="0.3">
      <c r="A124" s="168">
        <v>50</v>
      </c>
      <c r="B124" s="599" t="s">
        <v>618</v>
      </c>
      <c r="C124" s="168" t="s">
        <v>1587</v>
      </c>
      <c r="D124" s="243">
        <v>0.02</v>
      </c>
      <c r="E124" s="168">
        <v>4</v>
      </c>
      <c r="F124" s="245" t="s">
        <v>573</v>
      </c>
      <c r="G124" s="168"/>
      <c r="H124" s="171"/>
      <c r="I124" s="327">
        <v>4</v>
      </c>
      <c r="J124" s="323">
        <f t="shared" si="4"/>
        <v>0.08</v>
      </c>
    </row>
    <row r="125" spans="1:10" x14ac:dyDescent="0.3">
      <c r="A125" s="168">
        <v>60</v>
      </c>
      <c r="B125" s="599" t="s">
        <v>574</v>
      </c>
      <c r="C125" s="168" t="s">
        <v>1587</v>
      </c>
      <c r="D125" s="243">
        <v>0.01</v>
      </c>
      <c r="E125" s="168">
        <v>4</v>
      </c>
      <c r="F125" s="245" t="s">
        <v>573</v>
      </c>
      <c r="G125" s="168"/>
      <c r="H125" s="171"/>
      <c r="I125" s="327">
        <v>4</v>
      </c>
      <c r="J125" s="323">
        <f t="shared" si="4"/>
        <v>0.04</v>
      </c>
    </row>
    <row r="126" spans="1:10" x14ac:dyDescent="0.3">
      <c r="A126" s="168">
        <v>70</v>
      </c>
      <c r="B126" s="612" t="s">
        <v>1591</v>
      </c>
      <c r="C126" s="168" t="s">
        <v>1588</v>
      </c>
      <c r="D126" s="323">
        <v>0.1</v>
      </c>
      <c r="E126" s="168">
        <v>5</v>
      </c>
      <c r="F126" s="245" t="s">
        <v>573</v>
      </c>
      <c r="G126" s="168">
        <v>60</v>
      </c>
      <c r="H126" s="171" t="s">
        <v>573</v>
      </c>
      <c r="I126" s="327">
        <v>2</v>
      </c>
      <c r="J126" s="323">
        <f t="shared" si="4"/>
        <v>0.2</v>
      </c>
    </row>
    <row r="127" spans="1:10" x14ac:dyDescent="0.3">
      <c r="A127" s="168">
        <v>80</v>
      </c>
      <c r="B127" s="599" t="s">
        <v>574</v>
      </c>
      <c r="C127" s="168" t="s">
        <v>1588</v>
      </c>
      <c r="D127" s="243">
        <v>0.01</v>
      </c>
      <c r="E127" s="168">
        <v>5</v>
      </c>
      <c r="F127" s="245" t="s">
        <v>573</v>
      </c>
      <c r="G127" s="168"/>
      <c r="H127" s="171"/>
      <c r="I127" s="327">
        <f>2+2</f>
        <v>4</v>
      </c>
      <c r="J127" s="323">
        <f t="shared" si="4"/>
        <v>0.04</v>
      </c>
    </row>
    <row r="128" spans="1:10" x14ac:dyDescent="0.3">
      <c r="A128" s="168">
        <v>90</v>
      </c>
      <c r="B128" s="599" t="s">
        <v>618</v>
      </c>
      <c r="C128" s="168" t="s">
        <v>1588</v>
      </c>
      <c r="D128" s="243">
        <v>0.02</v>
      </c>
      <c r="E128" s="168">
        <v>5</v>
      </c>
      <c r="F128" s="245" t="s">
        <v>573</v>
      </c>
      <c r="G128" s="168"/>
      <c r="H128" s="171"/>
      <c r="I128" s="327">
        <v>4</v>
      </c>
      <c r="J128" s="323">
        <f>D128*I128</f>
        <v>0.08</v>
      </c>
    </row>
    <row r="129" spans="1:10" x14ac:dyDescent="0.3">
      <c r="A129" s="168">
        <v>100</v>
      </c>
      <c r="B129" s="168" t="s">
        <v>684</v>
      </c>
      <c r="C129" s="168" t="s">
        <v>1589</v>
      </c>
      <c r="D129" s="323">
        <v>0.01</v>
      </c>
      <c r="E129" s="168">
        <v>4</v>
      </c>
      <c r="F129" s="245" t="s">
        <v>573</v>
      </c>
      <c r="G129" s="168">
        <v>10</v>
      </c>
      <c r="H129" s="171" t="s">
        <v>573</v>
      </c>
      <c r="I129" s="327">
        <v>6</v>
      </c>
      <c r="J129" s="323">
        <f t="shared" si="4"/>
        <v>0.06</v>
      </c>
    </row>
    <row r="130" spans="1:10" x14ac:dyDescent="0.3">
      <c r="A130" s="168">
        <v>110</v>
      </c>
      <c r="B130" s="599" t="s">
        <v>618</v>
      </c>
      <c r="C130" s="168" t="s">
        <v>1589</v>
      </c>
      <c r="D130" s="243">
        <v>0.02</v>
      </c>
      <c r="E130" s="168">
        <v>4</v>
      </c>
      <c r="F130" s="245" t="s">
        <v>573</v>
      </c>
      <c r="G130" s="168"/>
      <c r="H130" s="171"/>
      <c r="I130" s="327">
        <v>4</v>
      </c>
      <c r="J130" s="323">
        <f t="shared" si="4"/>
        <v>0.08</v>
      </c>
    </row>
    <row r="131" spans="1:10" x14ac:dyDescent="0.3">
      <c r="A131" s="168">
        <v>120</v>
      </c>
      <c r="B131" s="168" t="s">
        <v>684</v>
      </c>
      <c r="C131" s="168" t="s">
        <v>1590</v>
      </c>
      <c r="D131" s="243">
        <v>0.03</v>
      </c>
      <c r="E131" s="168">
        <v>6</v>
      </c>
      <c r="F131" s="245" t="s">
        <v>573</v>
      </c>
      <c r="G131" s="168">
        <v>12</v>
      </c>
      <c r="H131" s="171" t="s">
        <v>573</v>
      </c>
      <c r="I131" s="327">
        <v>4</v>
      </c>
      <c r="J131" s="323">
        <f t="shared" si="4"/>
        <v>0.12</v>
      </c>
    </row>
    <row r="132" spans="1:10" x14ac:dyDescent="0.3">
      <c r="A132" s="168">
        <v>130</v>
      </c>
      <c r="B132" s="225" t="s">
        <v>1591</v>
      </c>
      <c r="C132" s="168" t="s">
        <v>1592</v>
      </c>
      <c r="D132" s="323">
        <v>0.05</v>
      </c>
      <c r="E132" s="168">
        <v>6</v>
      </c>
      <c r="F132" s="245" t="s">
        <v>573</v>
      </c>
      <c r="G132" s="168">
        <v>25</v>
      </c>
      <c r="H132" s="171" t="s">
        <v>573</v>
      </c>
      <c r="I132" s="327">
        <v>2</v>
      </c>
      <c r="J132" s="323">
        <f t="shared" si="4"/>
        <v>0.1</v>
      </c>
    </row>
    <row r="133" spans="1:10" x14ac:dyDescent="0.3">
      <c r="A133" s="168">
        <v>140</v>
      </c>
      <c r="B133" s="599" t="s">
        <v>618</v>
      </c>
      <c r="C133" s="168" t="s">
        <v>1593</v>
      </c>
      <c r="D133" s="323">
        <v>0.03</v>
      </c>
      <c r="E133" s="168">
        <v>6</v>
      </c>
      <c r="F133" s="245" t="s">
        <v>573</v>
      </c>
      <c r="G133" s="168"/>
      <c r="H133" s="171"/>
      <c r="I133" s="327">
        <v>4</v>
      </c>
      <c r="J133" s="323">
        <f t="shared" si="4"/>
        <v>0.12</v>
      </c>
    </row>
    <row r="134" spans="1:10" x14ac:dyDescent="0.3">
      <c r="A134" s="168">
        <v>150</v>
      </c>
      <c r="B134" s="225" t="s">
        <v>575</v>
      </c>
      <c r="C134" s="168" t="s">
        <v>1594</v>
      </c>
      <c r="D134" s="323">
        <v>0.03</v>
      </c>
      <c r="E134" s="168">
        <v>10</v>
      </c>
      <c r="F134" s="245" t="s">
        <v>573</v>
      </c>
      <c r="G134" s="168"/>
      <c r="H134" s="171"/>
      <c r="I134" s="327">
        <v>2</v>
      </c>
      <c r="J134" s="323">
        <f t="shared" si="4"/>
        <v>0.06</v>
      </c>
    </row>
    <row r="135" spans="1:10" x14ac:dyDescent="0.3">
      <c r="A135" s="168">
        <v>160</v>
      </c>
      <c r="B135" s="599" t="s">
        <v>618</v>
      </c>
      <c r="C135" s="168" t="s">
        <v>1595</v>
      </c>
      <c r="D135" s="323">
        <v>0.03</v>
      </c>
      <c r="E135" s="168">
        <v>6</v>
      </c>
      <c r="F135" s="245" t="s">
        <v>573</v>
      </c>
      <c r="G135" s="168"/>
      <c r="H135" s="171"/>
      <c r="I135" s="327">
        <v>2</v>
      </c>
      <c r="J135" s="323">
        <f t="shared" si="4"/>
        <v>0.06</v>
      </c>
    </row>
    <row r="136" spans="1:10" x14ac:dyDescent="0.3">
      <c r="A136" s="168">
        <v>170</v>
      </c>
      <c r="B136" s="225" t="s">
        <v>854</v>
      </c>
      <c r="C136" s="168" t="s">
        <v>1596</v>
      </c>
      <c r="D136" s="323">
        <v>0.03</v>
      </c>
      <c r="E136" s="600"/>
      <c r="F136" s="225"/>
      <c r="G136" s="168"/>
      <c r="H136" s="171"/>
      <c r="I136" s="327">
        <v>8</v>
      </c>
      <c r="J136" s="323">
        <f t="shared" si="4"/>
        <v>0.24</v>
      </c>
    </row>
    <row r="137" spans="1:10" x14ac:dyDescent="0.3">
      <c r="A137" s="168">
        <v>180</v>
      </c>
      <c r="B137" s="168" t="s">
        <v>684</v>
      </c>
      <c r="C137" s="168" t="s">
        <v>1597</v>
      </c>
      <c r="D137" s="243">
        <v>0.04</v>
      </c>
      <c r="E137" s="168">
        <v>6</v>
      </c>
      <c r="F137" s="245" t="s">
        <v>573</v>
      </c>
      <c r="G137" s="168">
        <v>16</v>
      </c>
      <c r="H137" s="171" t="s">
        <v>573</v>
      </c>
      <c r="I137" s="327">
        <v>2</v>
      </c>
      <c r="J137" s="323">
        <f t="shared" si="4"/>
        <v>0.08</v>
      </c>
    </row>
    <row r="138" spans="1:10" x14ac:dyDescent="0.3">
      <c r="A138" s="168">
        <v>190</v>
      </c>
      <c r="B138" s="599" t="s">
        <v>618</v>
      </c>
      <c r="C138" s="168" t="s">
        <v>1597</v>
      </c>
      <c r="D138" s="323">
        <v>0.03</v>
      </c>
      <c r="E138" s="168">
        <v>6</v>
      </c>
      <c r="F138" s="245" t="s">
        <v>573</v>
      </c>
      <c r="G138" s="168"/>
      <c r="H138" s="171"/>
      <c r="I138" s="327">
        <v>2</v>
      </c>
      <c r="J138" s="323">
        <f t="shared" si="4"/>
        <v>0.06</v>
      </c>
    </row>
    <row r="139" spans="1:10" x14ac:dyDescent="0.3">
      <c r="A139" s="168">
        <v>200</v>
      </c>
      <c r="B139" s="599" t="s">
        <v>574</v>
      </c>
      <c r="C139" s="168" t="s">
        <v>1597</v>
      </c>
      <c r="D139" s="243">
        <v>0.01</v>
      </c>
      <c r="E139" s="168">
        <v>6</v>
      </c>
      <c r="F139" s="245" t="s">
        <v>573</v>
      </c>
      <c r="G139" s="168"/>
      <c r="H139" s="171"/>
      <c r="I139" s="327">
        <v>2</v>
      </c>
      <c r="J139" s="323">
        <f t="shared" si="4"/>
        <v>0.02</v>
      </c>
    </row>
    <row r="140" spans="1:10" x14ac:dyDescent="0.3">
      <c r="A140" s="168">
        <v>210</v>
      </c>
      <c r="B140" s="168" t="s">
        <v>684</v>
      </c>
      <c r="C140" s="168" t="s">
        <v>1598</v>
      </c>
      <c r="D140" s="323">
        <v>0.08</v>
      </c>
      <c r="E140" s="168">
        <v>6</v>
      </c>
      <c r="F140" s="245" t="s">
        <v>573</v>
      </c>
      <c r="G140" s="168">
        <v>36</v>
      </c>
      <c r="H140" s="171" t="s">
        <v>573</v>
      </c>
      <c r="I140" s="327">
        <v>1</v>
      </c>
      <c r="J140" s="323">
        <f t="shared" si="4"/>
        <v>0.08</v>
      </c>
    </row>
    <row r="141" spans="1:10" x14ac:dyDescent="0.3">
      <c r="A141" s="168">
        <v>220</v>
      </c>
      <c r="B141" s="599" t="s">
        <v>618</v>
      </c>
      <c r="C141" s="168" t="s">
        <v>1598</v>
      </c>
      <c r="D141" s="323">
        <v>0.03</v>
      </c>
      <c r="E141" s="168">
        <v>6</v>
      </c>
      <c r="F141" s="245" t="s">
        <v>573</v>
      </c>
      <c r="G141" s="168"/>
      <c r="H141" s="171"/>
      <c r="I141" s="327">
        <v>1</v>
      </c>
      <c r="J141" s="323">
        <f t="shared" si="4"/>
        <v>0.03</v>
      </c>
    </row>
    <row r="142" spans="1:10" x14ac:dyDescent="0.3">
      <c r="A142" s="168">
        <v>230</v>
      </c>
      <c r="B142" s="599" t="s">
        <v>618</v>
      </c>
      <c r="C142" s="168" t="s">
        <v>1599</v>
      </c>
      <c r="D142" s="323">
        <v>0.03</v>
      </c>
      <c r="E142" s="168">
        <v>6</v>
      </c>
      <c r="F142" s="245" t="s">
        <v>573</v>
      </c>
      <c r="G142" s="168"/>
      <c r="H142" s="171"/>
      <c r="I142" s="327">
        <v>1</v>
      </c>
      <c r="J142" s="323">
        <f t="shared" si="4"/>
        <v>0.03</v>
      </c>
    </row>
    <row r="143" spans="1:10" x14ac:dyDescent="0.3">
      <c r="A143" s="168">
        <v>240</v>
      </c>
      <c r="B143" s="599" t="s">
        <v>574</v>
      </c>
      <c r="C143" s="168" t="s">
        <v>1600</v>
      </c>
      <c r="D143" s="243">
        <v>0.01</v>
      </c>
      <c r="E143" s="168">
        <v>6</v>
      </c>
      <c r="F143" s="245" t="s">
        <v>573</v>
      </c>
      <c r="G143" s="168"/>
      <c r="H143" s="171"/>
      <c r="I143" s="327">
        <v>3</v>
      </c>
      <c r="J143" s="323">
        <f t="shared" si="4"/>
        <v>0.03</v>
      </c>
    </row>
    <row r="144" spans="1:10" x14ac:dyDescent="0.3">
      <c r="A144" s="168">
        <v>250</v>
      </c>
      <c r="B144" s="168" t="s">
        <v>684</v>
      </c>
      <c r="C144" s="168" t="s">
        <v>1601</v>
      </c>
      <c r="D144" s="243">
        <v>0.1</v>
      </c>
      <c r="E144" s="168">
        <v>5</v>
      </c>
      <c r="F144" s="245" t="s">
        <v>573</v>
      </c>
      <c r="G144" s="168">
        <v>60</v>
      </c>
      <c r="H144" s="171" t="s">
        <v>573</v>
      </c>
      <c r="I144" s="327">
        <v>1</v>
      </c>
      <c r="J144" s="323">
        <f t="shared" si="4"/>
        <v>0.1</v>
      </c>
    </row>
    <row r="145" spans="1:10" x14ac:dyDescent="0.3">
      <c r="A145" s="168">
        <v>260</v>
      </c>
      <c r="B145" s="599" t="s">
        <v>618</v>
      </c>
      <c r="C145" s="168" t="s">
        <v>1601</v>
      </c>
      <c r="D145" s="243">
        <v>0.02</v>
      </c>
      <c r="E145" s="168">
        <v>5</v>
      </c>
      <c r="F145" s="245" t="s">
        <v>573</v>
      </c>
      <c r="G145" s="168"/>
      <c r="H145" s="171"/>
      <c r="I145" s="327">
        <v>1</v>
      </c>
      <c r="J145" s="323">
        <f t="shared" si="4"/>
        <v>0.02</v>
      </c>
    </row>
    <row r="146" spans="1:10" x14ac:dyDescent="0.3">
      <c r="A146" s="168">
        <v>270</v>
      </c>
      <c r="B146" s="168" t="s">
        <v>684</v>
      </c>
      <c r="C146" s="168" t="s">
        <v>1602</v>
      </c>
      <c r="D146" s="243">
        <v>0.03</v>
      </c>
      <c r="E146" s="168">
        <v>5</v>
      </c>
      <c r="F146" s="245" t="s">
        <v>573</v>
      </c>
      <c r="G146" s="168">
        <v>22</v>
      </c>
      <c r="H146" s="171" t="s">
        <v>573</v>
      </c>
      <c r="I146" s="327">
        <v>1</v>
      </c>
      <c r="J146" s="323">
        <f t="shared" si="4"/>
        <v>0.03</v>
      </c>
    </row>
    <row r="147" spans="1:10" x14ac:dyDescent="0.3">
      <c r="A147" s="168">
        <v>280</v>
      </c>
      <c r="B147" s="599" t="s">
        <v>618</v>
      </c>
      <c r="C147" s="168" t="s">
        <v>1602</v>
      </c>
      <c r="D147" s="243">
        <v>0.02</v>
      </c>
      <c r="E147" s="168">
        <v>5</v>
      </c>
      <c r="F147" s="245" t="s">
        <v>573</v>
      </c>
      <c r="G147" s="168"/>
      <c r="H147" s="171"/>
      <c r="I147" s="327">
        <v>1</v>
      </c>
      <c r="J147" s="323">
        <f t="shared" si="4"/>
        <v>0.02</v>
      </c>
    </row>
    <row r="148" spans="1:10" x14ac:dyDescent="0.3">
      <c r="A148" s="168">
        <v>290</v>
      </c>
      <c r="B148" s="168" t="s">
        <v>684</v>
      </c>
      <c r="C148" s="168" t="s">
        <v>1603</v>
      </c>
      <c r="D148" s="243">
        <v>0.27</v>
      </c>
      <c r="E148" s="168">
        <v>10</v>
      </c>
      <c r="F148" s="245" t="s">
        <v>573</v>
      </c>
      <c r="G148" s="168">
        <v>40</v>
      </c>
      <c r="H148" s="171" t="s">
        <v>573</v>
      </c>
      <c r="I148" s="327">
        <v>4</v>
      </c>
      <c r="J148" s="323">
        <f t="shared" si="4"/>
        <v>1.08</v>
      </c>
    </row>
    <row r="149" spans="1:10" x14ac:dyDescent="0.3">
      <c r="A149" s="168">
        <v>300</v>
      </c>
      <c r="B149" s="599" t="s">
        <v>618</v>
      </c>
      <c r="C149" s="168" t="s">
        <v>1603</v>
      </c>
      <c r="D149" s="243">
        <v>7.0000000000000007E-2</v>
      </c>
      <c r="E149" s="168">
        <v>10</v>
      </c>
      <c r="F149" s="245" t="s">
        <v>573</v>
      </c>
      <c r="G149" s="168"/>
      <c r="H149" s="171"/>
      <c r="I149" s="327">
        <v>4</v>
      </c>
      <c r="J149" s="323">
        <f t="shared" si="4"/>
        <v>0.28000000000000003</v>
      </c>
    </row>
    <row r="150" spans="1:10" x14ac:dyDescent="0.3">
      <c r="A150" s="168">
        <v>310</v>
      </c>
      <c r="B150" s="599" t="s">
        <v>574</v>
      </c>
      <c r="C150" s="168" t="s">
        <v>1603</v>
      </c>
      <c r="D150" s="243">
        <v>0.01</v>
      </c>
      <c r="E150" s="168">
        <v>10</v>
      </c>
      <c r="F150" s="245" t="s">
        <v>573</v>
      </c>
      <c r="G150" s="168"/>
      <c r="H150" s="171"/>
      <c r="I150" s="327">
        <v>8</v>
      </c>
      <c r="J150" s="323">
        <f t="shared" si="4"/>
        <v>0.08</v>
      </c>
    </row>
    <row r="151" spans="1:10" s="178" customFormat="1" x14ac:dyDescent="0.3">
      <c r="B151" s="598"/>
      <c r="I151" s="568" t="s">
        <v>547</v>
      </c>
      <c r="J151" s="569">
        <f>SUM(J120:J150)</f>
        <v>3.7799999999999994</v>
      </c>
    </row>
    <row r="152" spans="1:10" x14ac:dyDescent="0.3">
      <c r="H152" s="326"/>
      <c r="I152" s="325"/>
    </row>
    <row r="153" spans="1:10" s="178" customFormat="1" x14ac:dyDescent="0.3">
      <c r="A153" s="567" t="s">
        <v>544</v>
      </c>
      <c r="B153" s="567" t="s">
        <v>6</v>
      </c>
      <c r="C153" s="567" t="s">
        <v>549</v>
      </c>
      <c r="D153" s="567" t="s">
        <v>550</v>
      </c>
      <c r="E153" s="567" t="s">
        <v>551</v>
      </c>
      <c r="F153" s="567" t="s">
        <v>28</v>
      </c>
      <c r="G153" s="567" t="s">
        <v>691</v>
      </c>
      <c r="H153" s="567" t="s">
        <v>736</v>
      </c>
      <c r="I153" s="567" t="s">
        <v>547</v>
      </c>
    </row>
    <row r="154" spans="1:10" x14ac:dyDescent="0.3">
      <c r="A154" s="168">
        <v>10</v>
      </c>
      <c r="B154" s="272" t="s">
        <v>693</v>
      </c>
      <c r="C154" s="168" t="s">
        <v>1604</v>
      </c>
      <c r="D154" s="323">
        <v>500</v>
      </c>
      <c r="E154" s="168" t="s">
        <v>695</v>
      </c>
      <c r="F154" s="168">
        <v>16</v>
      </c>
      <c r="G154" s="168">
        <v>3000</v>
      </c>
      <c r="H154" s="168">
        <v>1</v>
      </c>
      <c r="I154" s="322">
        <f>D154*F154/G154*H154</f>
        <v>2.6666666666666665</v>
      </c>
    </row>
    <row r="155" spans="1:10" s="178" customFormat="1" x14ac:dyDescent="0.3">
      <c r="H155" s="568" t="s">
        <v>547</v>
      </c>
      <c r="I155" s="601">
        <f>SUM(I154:I154)</f>
        <v>2.6666666666666665</v>
      </c>
    </row>
  </sheetData>
  <pageMargins left="0.5" right="0.5" top="0.75" bottom="0.75" header="0.3" footer="0.3"/>
  <pageSetup paperSize="9" scale="63" fitToWidth="0" fitToHeight="0" orientation="landscape" r:id="rId1"/>
  <drawing r:id="rId2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.33203125" style="248" bestFit="1" customWidth="1"/>
    <col min="2" max="2" width="35.6640625" style="248" customWidth="1"/>
    <col min="3" max="3" width="30.33203125" style="248" customWidth="1"/>
    <col min="4" max="4" width="13.88671875" style="248" bestFit="1" customWidth="1"/>
    <col min="5" max="5" width="10.44140625" style="248" customWidth="1"/>
    <col min="6" max="6" width="12.33203125" style="248" customWidth="1"/>
    <col min="7" max="7" width="18.5546875" style="248" customWidth="1"/>
    <col min="8" max="8" width="14.109375" style="248" bestFit="1" customWidth="1"/>
    <col min="9" max="9" width="20.33203125" style="248" customWidth="1"/>
    <col min="10" max="10" width="14.109375" style="248" bestFit="1" customWidth="1"/>
    <col min="11" max="11" width="10.6640625" style="248" bestFit="1" customWidth="1"/>
    <col min="12" max="12" width="11.6640625" style="248" bestFit="1" customWidth="1"/>
    <col min="13" max="13" width="19.5546875" style="248" customWidth="1"/>
    <col min="14" max="14" width="15.33203125" style="248" bestFit="1" customWidth="1"/>
    <col min="15" max="15" width="9.109375" style="248"/>
    <col min="16" max="16" width="9.44140625" style="248" bestFit="1" customWidth="1"/>
    <col min="17" max="18" width="9.109375" style="248"/>
    <col min="19" max="19" width="10.44140625" style="248" bestFit="1" customWidth="1"/>
    <col min="20" max="20" width="9.44140625" style="248" bestFit="1" customWidth="1"/>
    <col min="21" max="21" width="9.109375" style="248"/>
    <col min="22" max="22" width="9.44140625" style="248" bestFit="1" customWidth="1"/>
    <col min="23" max="23" width="9.109375" style="248"/>
    <col min="24" max="25" width="10.109375" style="248" bestFit="1" customWidth="1"/>
    <col min="26" max="28" width="9.33203125" style="248" bestFit="1" customWidth="1"/>
    <col min="29" max="16384" width="9.109375" style="248"/>
  </cols>
  <sheetData>
    <row r="1" spans="1:14" x14ac:dyDescent="0.3">
      <c r="A1" s="602" t="s">
        <v>523</v>
      </c>
      <c r="B1" s="248" t="s">
        <v>524</v>
      </c>
      <c r="J1" s="603" t="s">
        <v>528</v>
      </c>
      <c r="K1" s="250">
        <v>81</v>
      </c>
      <c r="M1" s="602" t="s">
        <v>546</v>
      </c>
      <c r="N1" s="364">
        <f>N11+I17</f>
        <v>22.317619999999994</v>
      </c>
    </row>
    <row r="2" spans="1:14" x14ac:dyDescent="0.3">
      <c r="A2" s="602" t="s">
        <v>532</v>
      </c>
      <c r="B2" s="248" t="s">
        <v>1605</v>
      </c>
      <c r="C2" s="556" t="s">
        <v>732</v>
      </c>
      <c r="D2" s="580" t="s">
        <v>536</v>
      </c>
      <c r="M2" s="602" t="s">
        <v>533</v>
      </c>
      <c r="N2" s="296">
        <v>2</v>
      </c>
    </row>
    <row r="3" spans="1:14" x14ac:dyDescent="0.3">
      <c r="A3" s="602" t="s">
        <v>534</v>
      </c>
      <c r="B3" s="248" t="s">
        <v>211</v>
      </c>
      <c r="D3" s="570" t="s">
        <v>538</v>
      </c>
      <c r="J3" s="570" t="s">
        <v>536</v>
      </c>
    </row>
    <row r="4" spans="1:14" x14ac:dyDescent="0.3">
      <c r="A4" s="602" t="s">
        <v>545</v>
      </c>
      <c r="B4" s="319" t="s">
        <v>1606</v>
      </c>
      <c r="D4" s="570" t="s">
        <v>541</v>
      </c>
      <c r="J4" s="570" t="s">
        <v>538</v>
      </c>
      <c r="M4" s="602" t="s">
        <v>539</v>
      </c>
      <c r="N4" s="364">
        <f>N1*N2</f>
        <v>44.635239999999989</v>
      </c>
    </row>
    <row r="5" spans="1:14" x14ac:dyDescent="0.3">
      <c r="A5" s="602" t="s">
        <v>537</v>
      </c>
      <c r="B5" s="604" t="s">
        <v>212</v>
      </c>
      <c r="J5" s="570" t="s">
        <v>541</v>
      </c>
    </row>
    <row r="6" spans="1:14" x14ac:dyDescent="0.3">
      <c r="A6" s="602" t="s">
        <v>540</v>
      </c>
      <c r="B6" s="248" t="s">
        <v>36</v>
      </c>
    </row>
    <row r="7" spans="1:14" ht="28.8" x14ac:dyDescent="0.3">
      <c r="A7" s="605" t="s">
        <v>542</v>
      </c>
      <c r="B7" s="248" t="s">
        <v>1607</v>
      </c>
      <c r="I7" s="311"/>
    </row>
    <row r="9" spans="1:14" s="2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ht="28.8" x14ac:dyDescent="0.3">
      <c r="A10" s="184">
        <v>10</v>
      </c>
      <c r="B10" s="184" t="s">
        <v>697</v>
      </c>
      <c r="C10" s="184" t="s">
        <v>1608</v>
      </c>
      <c r="D10" s="307">
        <v>2.25</v>
      </c>
      <c r="E10" s="184">
        <v>22</v>
      </c>
      <c r="F10" s="184" t="s">
        <v>573</v>
      </c>
      <c r="G10" s="184">
        <v>22</v>
      </c>
      <c r="H10" s="268" t="s">
        <v>573</v>
      </c>
      <c r="I10" s="269" t="s">
        <v>1609</v>
      </c>
      <c r="J10" s="274">
        <f>0.022*0.022-0.018*0.018</f>
        <v>1.5999999999999999E-4</v>
      </c>
      <c r="K10" s="303">
        <v>0.45</v>
      </c>
      <c r="L10" s="268">
        <v>8010</v>
      </c>
      <c r="M10" s="271">
        <v>1</v>
      </c>
      <c r="N10" s="363">
        <f>IF(J10="",D10*M10,D10*J10*K10*L10*M10)</f>
        <v>1.2976199999999998</v>
      </c>
    </row>
    <row r="11" spans="1:14" s="278" customFormat="1" x14ac:dyDescent="0.3">
      <c r="M11" s="577" t="s">
        <v>547</v>
      </c>
      <c r="N11" s="579">
        <f>SUM(N10:N10)</f>
        <v>1.2976199999999998</v>
      </c>
    </row>
    <row r="13" spans="1:14" s="278" customFormat="1" x14ac:dyDescent="0.3">
      <c r="A13" s="576" t="s">
        <v>544</v>
      </c>
      <c r="B13" s="576" t="s">
        <v>548</v>
      </c>
      <c r="C13" s="576" t="s">
        <v>549</v>
      </c>
      <c r="D13" s="576" t="s">
        <v>550</v>
      </c>
      <c r="E13" s="576" t="s">
        <v>551</v>
      </c>
      <c r="F13" s="576" t="s">
        <v>28</v>
      </c>
      <c r="G13" s="576" t="s">
        <v>552</v>
      </c>
      <c r="H13" s="576" t="s">
        <v>553</v>
      </c>
      <c r="I13" s="576" t="s">
        <v>547</v>
      </c>
    </row>
    <row r="14" spans="1:14" ht="28.8" x14ac:dyDescent="0.3">
      <c r="A14" s="184">
        <v>10</v>
      </c>
      <c r="B14" s="180" t="s">
        <v>589</v>
      </c>
      <c r="C14" s="184" t="s">
        <v>1610</v>
      </c>
      <c r="D14" s="362">
        <v>1.3</v>
      </c>
      <c r="E14" s="184" t="s">
        <v>556</v>
      </c>
      <c r="F14" s="184">
        <v>1</v>
      </c>
      <c r="G14" s="184"/>
      <c r="H14" s="184"/>
      <c r="I14" s="362">
        <f>D14*F14</f>
        <v>1.3</v>
      </c>
    </row>
    <row r="15" spans="1:14" x14ac:dyDescent="0.3">
      <c r="A15" s="184">
        <v>20</v>
      </c>
      <c r="B15" s="180" t="s">
        <v>609</v>
      </c>
      <c r="C15" s="184" t="s">
        <v>1611</v>
      </c>
      <c r="D15" s="362">
        <v>0.04</v>
      </c>
      <c r="E15" s="184" t="s">
        <v>610</v>
      </c>
      <c r="F15" s="184">
        <v>1</v>
      </c>
      <c r="G15" s="184" t="s">
        <v>598</v>
      </c>
      <c r="H15" s="184">
        <v>3</v>
      </c>
      <c r="I15" s="363">
        <f>D15*F15*H15</f>
        <v>0.12</v>
      </c>
    </row>
    <row r="16" spans="1:14" ht="46.8" customHeight="1" x14ac:dyDescent="0.3">
      <c r="A16" s="184">
        <v>30</v>
      </c>
      <c r="B16" s="193" t="s">
        <v>1612</v>
      </c>
      <c r="C16" s="193" t="s">
        <v>1613</v>
      </c>
      <c r="D16" s="284">
        <v>0.35</v>
      </c>
      <c r="E16" s="184" t="s">
        <v>843</v>
      </c>
      <c r="F16" s="184">
        <v>56</v>
      </c>
      <c r="G16" s="184"/>
      <c r="H16" s="184"/>
      <c r="I16" s="362">
        <f>F16*D16</f>
        <v>19.599999999999998</v>
      </c>
    </row>
    <row r="17" spans="8:9" s="278" customFormat="1" x14ac:dyDescent="0.3">
      <c r="H17" s="577" t="s">
        <v>547</v>
      </c>
      <c r="I17" s="579">
        <f>SUM(I14:I16)</f>
        <v>21.019999999999996</v>
      </c>
    </row>
  </sheetData>
  <hyperlinks>
    <hyperlink ref="D2" location="'Pedal rail'!A1" display="FileLink1"/>
  </hyperlinks>
  <pageMargins left="0.5" right="0.5" top="0.75" bottom="0.75" header="0.3" footer="0.3"/>
  <pageSetup scale="52" orientation="landscape" r:id="rId1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5.6640625" style="161" customWidth="1"/>
    <col min="3" max="3" width="34.88671875" style="161" customWidth="1"/>
    <col min="4" max="4" width="13.6640625" style="161" bestFit="1" customWidth="1"/>
    <col min="5" max="5" width="9" style="161" customWidth="1"/>
    <col min="6" max="6" width="8.88671875" style="161" customWidth="1"/>
    <col min="7" max="7" width="17" style="161" customWidth="1"/>
    <col min="8" max="8" width="12" style="161" customWidth="1"/>
    <col min="9" max="9" width="23.5546875" style="161" customWidth="1"/>
    <col min="10" max="10" width="14" style="161" bestFit="1" customWidth="1"/>
    <col min="11" max="11" width="10.5546875" style="161" bestFit="1" customWidth="1"/>
    <col min="12" max="12" width="12" style="161" bestFit="1" customWidth="1"/>
    <col min="13" max="13" width="14" style="161" bestFit="1" customWidth="1"/>
    <col min="14" max="14" width="15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N11+I16</f>
        <v>1.3398700873687632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4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1704</v>
      </c>
      <c r="D4" s="570" t="s">
        <v>541</v>
      </c>
      <c r="J4" s="570" t="s">
        <v>538</v>
      </c>
      <c r="M4" s="570" t="s">
        <v>539</v>
      </c>
      <c r="N4" s="336">
        <f>N1*N2</f>
        <v>5.3594803494750529</v>
      </c>
    </row>
    <row r="5" spans="1:14" x14ac:dyDescent="0.3">
      <c r="A5" s="570" t="s">
        <v>537</v>
      </c>
      <c r="B5" s="604" t="s">
        <v>214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1705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x14ac:dyDescent="0.3">
      <c r="A10" s="168">
        <v>10</v>
      </c>
      <c r="B10" s="168" t="s">
        <v>1706</v>
      </c>
      <c r="C10" s="168" t="s">
        <v>1707</v>
      </c>
      <c r="D10" s="302">
        <v>2.2000000000000002</v>
      </c>
      <c r="E10" s="168"/>
      <c r="F10" s="168"/>
      <c r="G10" s="611"/>
      <c r="H10" s="219"/>
      <c r="I10" s="269" t="s">
        <v>1708</v>
      </c>
      <c r="J10" s="227">
        <f>0.005^2*PI()</f>
        <v>7.8539816339744827E-5</v>
      </c>
      <c r="K10" s="610">
        <v>1.2E-2</v>
      </c>
      <c r="L10" s="219">
        <v>6400</v>
      </c>
      <c r="M10" s="222">
        <v>1</v>
      </c>
      <c r="N10" s="322">
        <f>IF(J10="",D10*M10,D10*J10*K10*L10*M10)</f>
        <v>1.3270087368763287E-2</v>
      </c>
    </row>
    <row r="11" spans="1:14" s="178" customFormat="1" x14ac:dyDescent="0.3">
      <c r="M11" s="574" t="s">
        <v>547</v>
      </c>
      <c r="N11" s="575">
        <f>SUM(N10:N10)</f>
        <v>1.3270087368763287E-2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ht="28.8" x14ac:dyDescent="0.3">
      <c r="A14" s="168">
        <v>10</v>
      </c>
      <c r="B14" s="180" t="s">
        <v>589</v>
      </c>
      <c r="C14" s="193" t="s">
        <v>1709</v>
      </c>
      <c r="D14" s="323">
        <v>1.3</v>
      </c>
      <c r="E14" s="168" t="s">
        <v>556</v>
      </c>
      <c r="F14" s="168">
        <v>1</v>
      </c>
      <c r="G14" s="168"/>
      <c r="H14" s="168"/>
      <c r="I14" s="323">
        <f>IF('FR 04002'!$H14&lt;&gt;"",'FR 04002'!$D14*'FR 04002'!$F14*'FR 04002'!$H14,'FR 04002'!$D14*'FR 04002'!$F14)</f>
        <v>1.3</v>
      </c>
    </row>
    <row r="15" spans="1:14" ht="16.5" customHeight="1" x14ac:dyDescent="0.3">
      <c r="A15" s="168">
        <v>20</v>
      </c>
      <c r="B15" s="180" t="s">
        <v>609</v>
      </c>
      <c r="C15" s="184" t="s">
        <v>1710</v>
      </c>
      <c r="D15" s="323">
        <v>0.04</v>
      </c>
      <c r="E15" s="168" t="s">
        <v>610</v>
      </c>
      <c r="F15" s="168">
        <v>0.5</v>
      </c>
      <c r="G15" s="168" t="s">
        <v>1711</v>
      </c>
      <c r="H15" s="168">
        <v>1.33</v>
      </c>
      <c r="I15" s="322">
        <f>IF('FR 04002'!$H15&lt;&gt;"",'FR 04002'!$D15*'FR 04002'!$F15*'FR 04002'!$H15,'FR 04002'!$D15*'FR 04002'!$F15)</f>
        <v>2.6600000000000002E-2</v>
      </c>
    </row>
    <row r="16" spans="1:14" s="178" customFormat="1" x14ac:dyDescent="0.3">
      <c r="H16" s="574" t="s">
        <v>547</v>
      </c>
      <c r="I16" s="575">
        <f>SUM(I14:I15)</f>
        <v>1.3266</v>
      </c>
    </row>
  </sheetData>
  <pageMargins left="0.5" right="0.5" top="0.75" bottom="0.75" header="0.3" footer="0.3"/>
  <pageSetup scale="54" orientation="landscape" r:id="rId1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6.109375" style="161" customWidth="1"/>
    <col min="3" max="3" width="44.109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31.109375" style="161" customWidth="1"/>
    <col min="8" max="8" width="13.88671875" style="161" bestFit="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44.463471124999998</v>
      </c>
    </row>
    <row r="2" spans="1:14" x14ac:dyDescent="0.3">
      <c r="A2" s="570" t="s">
        <v>532</v>
      </c>
      <c r="B2" s="248" t="s">
        <v>1418</v>
      </c>
      <c r="C2" s="556" t="s">
        <v>732</v>
      </c>
      <c r="D2" s="58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217</v>
      </c>
      <c r="D4" s="570" t="s">
        <v>541</v>
      </c>
      <c r="J4" s="570" t="s">
        <v>538</v>
      </c>
      <c r="M4" s="570" t="s">
        <v>539</v>
      </c>
      <c r="N4" s="336">
        <f>N1*N2</f>
        <v>44.463471124999998</v>
      </c>
    </row>
    <row r="5" spans="1:14" x14ac:dyDescent="0.3">
      <c r="A5" s="570" t="s">
        <v>537</v>
      </c>
      <c r="B5" s="604" t="s">
        <v>216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1664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x14ac:dyDescent="0.3">
      <c r="A10" s="168">
        <v>10</v>
      </c>
      <c r="B10" s="168" t="s">
        <v>1665</v>
      </c>
      <c r="C10" s="168" t="s">
        <v>1666</v>
      </c>
      <c r="D10" s="302">
        <v>2.25</v>
      </c>
      <c r="E10" s="316">
        <f>(292050/(10^9))*8010</f>
        <v>2.3393205000000004</v>
      </c>
      <c r="F10" s="168" t="s">
        <v>856</v>
      </c>
      <c r="G10" s="168"/>
      <c r="H10" s="219"/>
      <c r="I10" s="269"/>
      <c r="J10" s="227"/>
      <c r="K10" s="610"/>
      <c r="L10" s="219"/>
      <c r="M10" s="222">
        <v>1</v>
      </c>
      <c r="N10" s="322">
        <f>IF(J10="",D10*M10*E10,D10*J10*K10*L10*M10)</f>
        <v>5.2634711250000006</v>
      </c>
    </row>
    <row r="11" spans="1:14" s="178" customFormat="1" x14ac:dyDescent="0.3">
      <c r="M11" s="574" t="s">
        <v>547</v>
      </c>
      <c r="N11" s="575">
        <f>SUM(N10:N10)</f>
        <v>5.2634711250000006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68" t="s">
        <v>699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D14*F14</f>
        <v>1.3</v>
      </c>
    </row>
    <row r="15" spans="1:14" x14ac:dyDescent="0.3">
      <c r="A15" s="168">
        <v>20</v>
      </c>
      <c r="B15" s="285" t="s">
        <v>700</v>
      </c>
      <c r="C15" s="171" t="s">
        <v>1667</v>
      </c>
      <c r="D15" s="323">
        <v>0.01</v>
      </c>
      <c r="E15" s="168" t="s">
        <v>593</v>
      </c>
      <c r="F15" s="168">
        <v>984</v>
      </c>
      <c r="G15" s="289" t="s">
        <v>829</v>
      </c>
      <c r="H15" s="168">
        <v>3.75</v>
      </c>
      <c r="I15" s="323">
        <f>IF('FR 04003'!$H15&lt;&gt;"",'FR 04003'!$D15*'FR 04003'!$F15*'FR 04003'!$H15,'FR 04003'!$D15*'FR 04003'!$F15)</f>
        <v>36.9</v>
      </c>
    </row>
    <row r="16" spans="1:14" x14ac:dyDescent="0.3">
      <c r="A16" s="168">
        <v>30</v>
      </c>
      <c r="B16" s="180" t="s">
        <v>702</v>
      </c>
      <c r="C16" s="168" t="s">
        <v>703</v>
      </c>
      <c r="D16" s="323">
        <v>0.25</v>
      </c>
      <c r="E16" s="168" t="s">
        <v>704</v>
      </c>
      <c r="F16" s="168">
        <v>4</v>
      </c>
      <c r="G16" s="168"/>
      <c r="H16" s="168"/>
      <c r="I16" s="323">
        <f>IF('FR 04003'!$H16&lt;&gt;"",'FR 04003'!$D16*'FR 04003'!$F16*'FR 04003'!$H16,'FR 04003'!$D16*'FR 04003'!$F16)</f>
        <v>1</v>
      </c>
    </row>
    <row r="17" spans="8:9" s="178" customFormat="1" x14ac:dyDescent="0.3">
      <c r="H17" s="574" t="s">
        <v>547</v>
      </c>
      <c r="I17" s="575">
        <f>SUM(I14:I16)</f>
        <v>39.199999999999996</v>
      </c>
    </row>
  </sheetData>
  <hyperlinks>
    <hyperlink ref="D2" location="'Pedal base'!A1" display="FileLink1"/>
  </hyperlinks>
  <pageMargins left="0.5" right="0.5" top="0.75" bottom="0.75" header="0.3" footer="0.3"/>
  <pageSetup scale="48" orientation="landscape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1"/>
  <sheetViews>
    <sheetView showGridLines="0" workbookViewId="0"/>
  </sheetViews>
  <sheetFormatPr defaultColWidth="11.44140625" defaultRowHeight="14.4" x14ac:dyDescent="0.3"/>
  <cols>
    <col min="2" max="2" width="26.44140625" customWidth="1"/>
    <col min="3" max="3" width="15.109375" customWidth="1"/>
    <col min="13" max="13" width="14.8867187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N11</f>
        <v>83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2</v>
      </c>
    </row>
    <row r="3" spans="1:14" x14ac:dyDescent="0.3">
      <c r="A3" s="197" t="s">
        <v>534</v>
      </c>
      <c r="B3" t="s">
        <v>619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6" t="s">
        <v>42</v>
      </c>
      <c r="D4" s="197" t="s">
        <v>541</v>
      </c>
      <c r="J4" s="197" t="s">
        <v>538</v>
      </c>
      <c r="M4" s="197" t="s">
        <v>539</v>
      </c>
      <c r="N4" s="164">
        <f>N1*N2</f>
        <v>166</v>
      </c>
    </row>
    <row r="5" spans="1:14" x14ac:dyDescent="0.3">
      <c r="A5" s="197" t="s">
        <v>537</v>
      </c>
      <c r="B5" s="199" t="s">
        <v>50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200" t="s">
        <v>542</v>
      </c>
      <c r="B7" s="161" t="s">
        <v>599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ht="18.600000000000001" customHeight="1" x14ac:dyDescent="0.3">
      <c r="A10" s="168">
        <v>10</v>
      </c>
      <c r="B10" s="190" t="s">
        <v>600</v>
      </c>
      <c r="C10" s="218" t="s">
        <v>42</v>
      </c>
      <c r="D10" s="170">
        <v>83</v>
      </c>
      <c r="E10" s="168"/>
      <c r="F10" s="168"/>
      <c r="G10" s="168"/>
      <c r="H10" s="219"/>
      <c r="I10" s="220"/>
      <c r="J10" s="221"/>
      <c r="K10" s="219"/>
      <c r="L10" s="219"/>
      <c r="M10" s="222">
        <v>1</v>
      </c>
      <c r="N10" s="223">
        <v>83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212" t="s">
        <v>547</v>
      </c>
      <c r="N11" s="224">
        <f>N10</f>
        <v>83</v>
      </c>
    </row>
  </sheetData>
  <pageMargins left="0.7" right="0.7" top="0.75" bottom="0.75" header="0.3" footer="0.3"/>
  <pageSetup paperSize="9" scale="71" fitToHeight="0" orientation="landscape" r:id="rId1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5.6640625" style="161" customWidth="1"/>
    <col min="3" max="3" width="38.6640625" style="161" customWidth="1"/>
    <col min="4" max="4" width="13.5546875" style="161" bestFit="1" customWidth="1"/>
    <col min="5" max="5" width="14.109375" style="161" bestFit="1" customWidth="1"/>
    <col min="6" max="6" width="12" style="161" customWidth="1"/>
    <col min="7" max="7" width="22.6640625" style="161" customWidth="1"/>
    <col min="8" max="8" width="13.88671875" style="161" bestFit="1" customWidth="1"/>
    <col min="9" max="9" width="23.5546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N11+I25</f>
        <v>14.098567096</v>
      </c>
    </row>
    <row r="2" spans="1:14" x14ac:dyDescent="0.3">
      <c r="A2" s="570" t="s">
        <v>532</v>
      </c>
      <c r="B2" s="248" t="s">
        <v>1605</v>
      </c>
      <c r="C2" s="556" t="s">
        <v>732</v>
      </c>
      <c r="D2" s="58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219</v>
      </c>
      <c r="D4" s="570" t="s">
        <v>541</v>
      </c>
      <c r="J4" s="570" t="s">
        <v>538</v>
      </c>
      <c r="M4" s="570" t="s">
        <v>539</v>
      </c>
      <c r="N4" s="336">
        <f>N1*N2</f>
        <v>14.098567096</v>
      </c>
    </row>
    <row r="5" spans="1:14" x14ac:dyDescent="0.3">
      <c r="A5" s="570" t="s">
        <v>537</v>
      </c>
      <c r="B5" s="604" t="s">
        <v>218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1614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1615</v>
      </c>
      <c r="D10" s="302">
        <v>4.2</v>
      </c>
      <c r="E10" s="168">
        <v>34</v>
      </c>
      <c r="F10" s="168" t="s">
        <v>573</v>
      </c>
      <c r="G10" s="168">
        <v>34</v>
      </c>
      <c r="H10" s="219" t="s">
        <v>573</v>
      </c>
      <c r="I10" s="269" t="s">
        <v>1645</v>
      </c>
      <c r="J10" s="227">
        <f>0.034*0.034</f>
        <v>1.1560000000000001E-3</v>
      </c>
      <c r="K10" s="610">
        <v>0.21299999999999999</v>
      </c>
      <c r="L10" s="219">
        <v>2710</v>
      </c>
      <c r="M10" s="222">
        <v>1</v>
      </c>
      <c r="N10" s="322">
        <f>IF(J10="",D10*M10,D10*J10*K10*L10*M10)</f>
        <v>2.8025670960000006</v>
      </c>
    </row>
    <row r="11" spans="1:14" s="178" customFormat="1" x14ac:dyDescent="0.3">
      <c r="M11" s="574" t="s">
        <v>547</v>
      </c>
      <c r="N11" s="575">
        <f>SUM(N10:N10)</f>
        <v>2.8025670960000006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93" t="s">
        <v>1646</v>
      </c>
      <c r="D14" s="323">
        <v>1.3</v>
      </c>
      <c r="E14" s="168" t="s">
        <v>556</v>
      </c>
      <c r="F14" s="168">
        <v>1</v>
      </c>
      <c r="G14" s="168"/>
      <c r="H14" s="168"/>
      <c r="I14" s="323">
        <f>IF('FR 04004'!$H14&lt;&gt;"",'FR 04004'!$D14*'FR 04004'!$F14*'FR 04004'!$H14,'FR 04004'!$D14*'FR 04004'!$F14)</f>
        <v>1.3</v>
      </c>
    </row>
    <row r="15" spans="1:14" x14ac:dyDescent="0.3">
      <c r="A15" s="168">
        <v>20</v>
      </c>
      <c r="B15" s="180" t="s">
        <v>609</v>
      </c>
      <c r="C15" s="184" t="s">
        <v>1647</v>
      </c>
      <c r="D15" s="323">
        <v>0.04</v>
      </c>
      <c r="E15" s="168" t="s">
        <v>610</v>
      </c>
      <c r="F15" s="168">
        <v>80.5</v>
      </c>
      <c r="G15" s="168" t="s">
        <v>723</v>
      </c>
      <c r="H15" s="168">
        <v>1</v>
      </c>
      <c r="I15" s="322">
        <f>IF('FR 04004'!$H15&lt;&gt;"",'FR 04004'!$D15*'FR 04004'!$F15*'FR 04004'!$H15,'FR 04004'!$D15*'FR 04004'!$F15)</f>
        <v>3.22</v>
      </c>
    </row>
    <row r="16" spans="1:14" x14ac:dyDescent="0.3">
      <c r="A16" s="168">
        <v>30</v>
      </c>
      <c r="B16" s="180" t="s">
        <v>785</v>
      </c>
      <c r="C16" s="193" t="s">
        <v>1619</v>
      </c>
      <c r="D16" s="323">
        <v>0.65</v>
      </c>
      <c r="E16" s="168" t="s">
        <v>556</v>
      </c>
      <c r="F16" s="168">
        <v>1</v>
      </c>
      <c r="G16" s="168"/>
      <c r="H16" s="168"/>
      <c r="I16" s="323">
        <f>IF('FR 04004'!$H16&lt;&gt;"",'FR 04004'!$D16*'FR 04004'!$F16*'FR 04004'!$H16,'FR 04004'!$D16*'FR 04004'!$F16)</f>
        <v>0.65</v>
      </c>
    </row>
    <row r="17" spans="1:9" x14ac:dyDescent="0.3">
      <c r="A17" s="168">
        <v>40</v>
      </c>
      <c r="B17" s="180" t="s">
        <v>609</v>
      </c>
      <c r="C17" s="184" t="s">
        <v>1648</v>
      </c>
      <c r="D17" s="323">
        <v>0.04</v>
      </c>
      <c r="E17" s="168" t="s">
        <v>610</v>
      </c>
      <c r="F17" s="168">
        <v>26.6</v>
      </c>
      <c r="G17" s="168" t="s">
        <v>723</v>
      </c>
      <c r="H17" s="168">
        <v>1</v>
      </c>
      <c r="I17" s="322">
        <f>IF('FR 04004'!$H17&lt;&gt;"",'FR 04004'!$D17*'FR 04004'!$F17*'FR 04004'!$H17,'FR 04004'!$D17*'FR 04004'!$F17)</f>
        <v>1.0640000000000001</v>
      </c>
    </row>
    <row r="18" spans="1:9" x14ac:dyDescent="0.3">
      <c r="A18" s="168">
        <v>50</v>
      </c>
      <c r="B18" s="180" t="s">
        <v>785</v>
      </c>
      <c r="C18" s="193" t="s">
        <v>1619</v>
      </c>
      <c r="D18" s="323">
        <v>0.65</v>
      </c>
      <c r="E18" s="168" t="s">
        <v>556</v>
      </c>
      <c r="F18" s="168">
        <v>1</v>
      </c>
      <c r="G18" s="168"/>
      <c r="H18" s="168"/>
      <c r="I18" s="323">
        <f>IF('FR 04004'!$H18&lt;&gt;"",'FR 04004'!$D18*'FR 04004'!$F18*'FR 04004'!$H18,'FR 04004'!$D18*'FR 04004'!$F18)</f>
        <v>0.65</v>
      </c>
    </row>
    <row r="19" spans="1:9" x14ac:dyDescent="0.3">
      <c r="A19" s="168">
        <v>60</v>
      </c>
      <c r="B19" s="180" t="s">
        <v>609</v>
      </c>
      <c r="C19" s="184" t="s">
        <v>1649</v>
      </c>
      <c r="D19" s="323">
        <v>0.04</v>
      </c>
      <c r="E19" s="168" t="s">
        <v>610</v>
      </c>
      <c r="F19" s="168">
        <v>22.8</v>
      </c>
      <c r="G19" s="168" t="s">
        <v>723</v>
      </c>
      <c r="H19" s="168">
        <v>1</v>
      </c>
      <c r="I19" s="322">
        <f>IF('FR 04004'!$H19&lt;&gt;"",'FR 04004'!$D19*'FR 04004'!$F19*'FR 04004'!$H19,'FR 04004'!$D19*'FR 04004'!$F19)</f>
        <v>0.91200000000000003</v>
      </c>
    </row>
    <row r="20" spans="1:9" x14ac:dyDescent="0.3">
      <c r="A20" s="168">
        <v>70</v>
      </c>
      <c r="B20" s="171" t="s">
        <v>1612</v>
      </c>
      <c r="C20" s="193" t="s">
        <v>1650</v>
      </c>
      <c r="D20" s="243">
        <v>0.35</v>
      </c>
      <c r="E20" s="168" t="s">
        <v>843</v>
      </c>
      <c r="F20" s="168">
        <v>3</v>
      </c>
      <c r="G20" s="168"/>
      <c r="H20" s="168"/>
      <c r="I20" s="323">
        <f>IF('FR 04004'!$H20&lt;&gt;"",'FR 04004'!$D20*'FR 04004'!$F20*'FR 04004'!$H20,'FR 04004'!$D20*'FR 04004'!$F20)</f>
        <v>1.0499999999999998</v>
      </c>
    </row>
    <row r="21" spans="1:9" x14ac:dyDescent="0.3">
      <c r="A21" s="168">
        <v>80</v>
      </c>
      <c r="B21" s="171" t="s">
        <v>1612</v>
      </c>
      <c r="C21" s="193" t="s">
        <v>1651</v>
      </c>
      <c r="D21" s="243">
        <v>0.35</v>
      </c>
      <c r="E21" s="168" t="s">
        <v>843</v>
      </c>
      <c r="F21" s="168">
        <v>1</v>
      </c>
      <c r="G21" s="168"/>
      <c r="H21" s="168"/>
      <c r="I21" s="322">
        <f>IF('FR 04004'!$H21&lt;&gt;"",'FR 04004'!$D21*'FR 04004'!$F21*'FR 04004'!$H21,'FR 04004'!$D21*'FR 04004'!$F21)</f>
        <v>0.35</v>
      </c>
    </row>
    <row r="22" spans="1:9" x14ac:dyDescent="0.3">
      <c r="A22" s="168">
        <v>90</v>
      </c>
      <c r="B22" s="171" t="s">
        <v>1623</v>
      </c>
      <c r="C22" s="193" t="s">
        <v>1652</v>
      </c>
      <c r="D22" s="243">
        <v>0.35</v>
      </c>
      <c r="E22" s="168" t="s">
        <v>843</v>
      </c>
      <c r="F22" s="168">
        <v>1</v>
      </c>
      <c r="G22" s="168"/>
      <c r="H22" s="168"/>
      <c r="I22" s="323">
        <f>IF('FR 04004'!$H22&lt;&gt;"",'FR 04004'!$D22*'FR 04004'!$F22*'FR 04004'!$H22,'FR 04004'!$D22*'FR 04004'!$F22)</f>
        <v>0.35</v>
      </c>
    </row>
    <row r="23" spans="1:9" x14ac:dyDescent="0.3">
      <c r="A23" s="168">
        <v>100</v>
      </c>
      <c r="B23" s="171" t="s">
        <v>1612</v>
      </c>
      <c r="C23" s="193" t="s">
        <v>1625</v>
      </c>
      <c r="D23" s="323">
        <v>0.35</v>
      </c>
      <c r="E23" s="168" t="s">
        <v>843</v>
      </c>
      <c r="F23" s="168">
        <v>3</v>
      </c>
      <c r="G23" s="168"/>
      <c r="H23" s="168"/>
      <c r="I23" s="322">
        <f>IF('FR 04004'!$H23&lt;&gt;"",'FR 04004'!$D23*'FR 04004'!$F23*'FR 04004'!$H23,'FR 04004'!$D23*'FR 04004'!$F23)</f>
        <v>1.0499999999999998</v>
      </c>
    </row>
    <row r="24" spans="1:9" x14ac:dyDescent="0.3">
      <c r="A24" s="168">
        <v>110</v>
      </c>
      <c r="B24" s="171" t="s">
        <v>1249</v>
      </c>
      <c r="C24" s="171" t="s">
        <v>1653</v>
      </c>
      <c r="D24" s="323">
        <v>0.35</v>
      </c>
      <c r="E24" s="168" t="s">
        <v>843</v>
      </c>
      <c r="F24" s="168">
        <v>2</v>
      </c>
      <c r="G24" s="168"/>
      <c r="H24" s="168"/>
      <c r="I24" s="323">
        <f>IF('FR 04004'!$H24&lt;&gt;"",'FR 04004'!$D24*'FR 04004'!$F24*'FR 04004'!$H24,'FR 04004'!$D24*'FR 04004'!$F24)</f>
        <v>0.7</v>
      </c>
    </row>
    <row r="25" spans="1:9" s="178" customFormat="1" x14ac:dyDescent="0.3">
      <c r="H25" s="574" t="s">
        <v>547</v>
      </c>
      <c r="I25" s="575">
        <f>SUM(I14:I24)</f>
        <v>11.295999999999999</v>
      </c>
    </row>
  </sheetData>
  <hyperlinks>
    <hyperlink ref="D2" location="'Brake Pedal'!A1" display="FileLink1"/>
  </hyperlinks>
  <pageMargins left="0.5" right="0.5" top="0.75" bottom="0.75" header="0.3" footer="0.3"/>
  <pageSetup scale="50" orientation="landscape" r:id="rId1"/>
  <drawing r:id="rId2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0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6.109375" style="161" customWidth="1"/>
    <col min="3" max="3" width="44.109375" style="161" customWidth="1"/>
    <col min="4" max="4" width="13.5546875" style="161" bestFit="1" customWidth="1"/>
    <col min="5" max="5" width="11.109375" style="161" customWidth="1"/>
    <col min="6" max="6" width="10.109375" style="161" customWidth="1"/>
    <col min="7" max="7" width="21.44140625" style="161" customWidth="1"/>
    <col min="8" max="8" width="12.33203125" style="16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N11+I20</f>
        <v>10.725190118000002</v>
      </c>
    </row>
    <row r="2" spans="1:14" x14ac:dyDescent="0.3">
      <c r="A2" s="570" t="s">
        <v>532</v>
      </c>
      <c r="B2" s="248" t="s">
        <v>1605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221</v>
      </c>
      <c r="D4" s="570" t="s">
        <v>541</v>
      </c>
      <c r="J4" s="570" t="s">
        <v>538</v>
      </c>
      <c r="M4" s="570" t="s">
        <v>539</v>
      </c>
      <c r="N4" s="336">
        <f>N1*N2</f>
        <v>10.725190118000002</v>
      </c>
    </row>
    <row r="5" spans="1:14" x14ac:dyDescent="0.3">
      <c r="A5" s="570" t="s">
        <v>537</v>
      </c>
      <c r="B5" s="604" t="s">
        <v>220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1632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1633</v>
      </c>
      <c r="D10" s="302">
        <v>4.2</v>
      </c>
      <c r="E10" s="168">
        <v>47</v>
      </c>
      <c r="F10" s="168" t="s">
        <v>573</v>
      </c>
      <c r="G10" s="168">
        <v>37</v>
      </c>
      <c r="H10" s="219" t="s">
        <v>573</v>
      </c>
      <c r="I10" s="269" t="s">
        <v>1654</v>
      </c>
      <c r="J10" s="227">
        <v>1.7390000000000001E-3</v>
      </c>
      <c r="K10" s="610">
        <v>9.0999999999999998E-2</v>
      </c>
      <c r="L10" s="219">
        <v>2710</v>
      </c>
      <c r="M10" s="222">
        <v>1</v>
      </c>
      <c r="N10" s="322">
        <f>IF(J10="",D10*M10,D10*J10*K10*L10*M10)</f>
        <v>1.8011901180000003</v>
      </c>
    </row>
    <row r="11" spans="1:14" s="178" customFormat="1" x14ac:dyDescent="0.3">
      <c r="M11" s="574" t="s">
        <v>547</v>
      </c>
      <c r="N11" s="575">
        <f>SUM(N10:N10)</f>
        <v>1.8011901180000003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285" t="s">
        <v>589</v>
      </c>
      <c r="C14" s="171" t="s">
        <v>1635</v>
      </c>
      <c r="D14" s="323">
        <v>1.3</v>
      </c>
      <c r="E14" s="168" t="s">
        <v>556</v>
      </c>
      <c r="F14" s="168">
        <v>1</v>
      </c>
      <c r="G14" s="168"/>
      <c r="H14" s="168"/>
      <c r="I14" s="323">
        <f>IF('FR 04005'!$H14&lt;&gt;"",'FR 04005'!$D14*'FR 04005'!$F14*'FR 04005'!$H14,'FR 04005'!$D14*'FR 04005'!$F14)</f>
        <v>1.3</v>
      </c>
    </row>
    <row r="15" spans="1:14" x14ac:dyDescent="0.3">
      <c r="A15" s="168">
        <v>20</v>
      </c>
      <c r="B15" s="180" t="s">
        <v>609</v>
      </c>
      <c r="C15" s="168" t="s">
        <v>1618</v>
      </c>
      <c r="D15" s="323">
        <v>0.04</v>
      </c>
      <c r="E15" s="168" t="s">
        <v>610</v>
      </c>
      <c r="F15" s="168">
        <f>17.7+15</f>
        <v>32.700000000000003</v>
      </c>
      <c r="G15" s="168" t="s">
        <v>723</v>
      </c>
      <c r="H15" s="168">
        <v>1</v>
      </c>
      <c r="I15" s="322">
        <f>IF('FR 04005'!$H15&lt;&gt;"",'FR 04005'!$D15*'FR 04005'!$F15*'FR 04005'!$H15,'FR 04005'!$D15*'FR 04005'!$F15)</f>
        <v>1.3080000000000001</v>
      </c>
    </row>
    <row r="16" spans="1:14" x14ac:dyDescent="0.3">
      <c r="A16" s="168">
        <v>30</v>
      </c>
      <c r="B16" s="180" t="s">
        <v>785</v>
      </c>
      <c r="C16" s="193" t="s">
        <v>1619</v>
      </c>
      <c r="D16" s="323">
        <v>0.65</v>
      </c>
      <c r="E16" s="168" t="s">
        <v>556</v>
      </c>
      <c r="F16" s="168">
        <v>1</v>
      </c>
      <c r="G16" s="168"/>
      <c r="H16" s="168"/>
      <c r="I16" s="323">
        <f>IF('FR 04005'!$H16&lt;&gt;"",'FR 04005'!$D16*'FR 04005'!$F16*'FR 04005'!$H16,'FR 04005'!$D16*'FR 04005'!$F16)</f>
        <v>0.65</v>
      </c>
    </row>
    <row r="17" spans="1:9" x14ac:dyDescent="0.3">
      <c r="A17" s="168">
        <v>40</v>
      </c>
      <c r="B17" s="180" t="s">
        <v>609</v>
      </c>
      <c r="C17" s="168" t="s">
        <v>1637</v>
      </c>
      <c r="D17" s="323">
        <v>0.04</v>
      </c>
      <c r="E17" s="168" t="s">
        <v>610</v>
      </c>
      <c r="F17" s="168">
        <v>108.2</v>
      </c>
      <c r="G17" s="168" t="s">
        <v>723</v>
      </c>
      <c r="H17" s="168">
        <v>1</v>
      </c>
      <c r="I17" s="322">
        <f>IF('FR 04005'!$H17&lt;&gt;"",'FR 04005'!$D17*'FR 04005'!$F17*'FR 04005'!$H17,'FR 04005'!$D17*'FR 04005'!$F17)</f>
        <v>4.3280000000000003</v>
      </c>
    </row>
    <row r="18" spans="1:9" x14ac:dyDescent="0.3">
      <c r="A18" s="168">
        <v>50</v>
      </c>
      <c r="B18" s="180" t="s">
        <v>785</v>
      </c>
      <c r="C18" s="171" t="s">
        <v>1655</v>
      </c>
      <c r="D18" s="323">
        <v>0.65</v>
      </c>
      <c r="E18" s="168" t="s">
        <v>556</v>
      </c>
      <c r="F18" s="168">
        <v>1</v>
      </c>
      <c r="G18" s="168"/>
      <c r="H18" s="168"/>
      <c r="I18" s="323">
        <f>IF('FR 04005'!$H18&lt;&gt;"",'FR 04005'!$D18*'FR 04005'!$F18*'FR 04005'!$H18,'FR 04005'!$D18*'FR 04005'!$F18)</f>
        <v>0.65</v>
      </c>
    </row>
    <row r="19" spans="1:9" x14ac:dyDescent="0.3">
      <c r="A19" s="168">
        <v>60</v>
      </c>
      <c r="B19" s="180" t="s">
        <v>609</v>
      </c>
      <c r="C19" s="168" t="s">
        <v>1656</v>
      </c>
      <c r="D19" s="323">
        <v>0.04</v>
      </c>
      <c r="E19" s="168" t="s">
        <v>610</v>
      </c>
      <c r="F19" s="168">
        <f>2.2+15</f>
        <v>17.2</v>
      </c>
      <c r="G19" s="168" t="s">
        <v>723</v>
      </c>
      <c r="H19" s="168">
        <v>1</v>
      </c>
      <c r="I19" s="322">
        <f>IF('FR 04005'!$H19&lt;&gt;"",'FR 04005'!$D19*'FR 04005'!$F19*'FR 04005'!$H19,'FR 04005'!$D19*'FR 04005'!$F19)</f>
        <v>0.68799999999999994</v>
      </c>
    </row>
    <row r="20" spans="1:9" s="178" customFormat="1" x14ac:dyDescent="0.3">
      <c r="H20" s="574" t="s">
        <v>547</v>
      </c>
      <c r="I20" s="575">
        <f>SUM(I14:I19)</f>
        <v>8.9240000000000013</v>
      </c>
    </row>
  </sheetData>
  <pageMargins left="0.5" right="0.5" top="0.75" bottom="0.75" header="0.3" footer="0.3"/>
  <pageSetup scale="51" orientation="landscape" r:id="rId1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40.33203125" style="161" customWidth="1"/>
    <col min="3" max="3" width="44.109375" style="161" customWidth="1"/>
    <col min="4" max="4" width="13.5546875" style="161" bestFit="1" customWidth="1"/>
    <col min="5" max="6" width="11.44140625" style="161" customWidth="1"/>
    <col min="7" max="7" width="26.6640625" style="161" customWidth="1"/>
    <col min="8" max="8" width="12.109375" style="16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N11+I16</f>
        <v>2.8165277404792035</v>
      </c>
    </row>
    <row r="2" spans="1:14" x14ac:dyDescent="0.3">
      <c r="A2" s="570" t="s">
        <v>532</v>
      </c>
      <c r="B2" s="248" t="s">
        <v>1605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1695</v>
      </c>
      <c r="D4" s="570" t="s">
        <v>541</v>
      </c>
      <c r="J4" s="570" t="s">
        <v>538</v>
      </c>
      <c r="M4" s="570" t="s">
        <v>539</v>
      </c>
      <c r="N4" s="336">
        <f>N1*N2</f>
        <v>2.8165277404792035</v>
      </c>
    </row>
    <row r="5" spans="1:14" x14ac:dyDescent="0.3">
      <c r="A5" s="570" t="s">
        <v>537</v>
      </c>
      <c r="B5" s="604" t="s">
        <v>222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1691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x14ac:dyDescent="0.3">
      <c r="A10" s="168">
        <v>10</v>
      </c>
      <c r="B10" s="168" t="s">
        <v>1692</v>
      </c>
      <c r="C10" s="168" t="s">
        <v>1679</v>
      </c>
      <c r="D10" s="302">
        <v>2.25</v>
      </c>
      <c r="E10" s="168">
        <v>10</v>
      </c>
      <c r="F10" s="168" t="s">
        <v>573</v>
      </c>
      <c r="G10" s="168"/>
      <c r="H10" s="219"/>
      <c r="I10" s="269" t="s">
        <v>1693</v>
      </c>
      <c r="J10" s="227">
        <f>PI()*0.005^2</f>
        <v>7.8539816339744827E-5</v>
      </c>
      <c r="K10" s="610">
        <v>4.7E-2</v>
      </c>
      <c r="L10" s="219">
        <v>8010</v>
      </c>
      <c r="M10" s="222">
        <v>1</v>
      </c>
      <c r="N10" s="322">
        <f>IF(J10="",D10*M10,D10*J10*K10*L10*M10)</f>
        <v>6.6527740479203401E-2</v>
      </c>
    </row>
    <row r="11" spans="1:14" s="178" customFormat="1" x14ac:dyDescent="0.3">
      <c r="M11" s="574" t="s">
        <v>547</v>
      </c>
      <c r="N11" s="575">
        <f>SUM(N10:N10)</f>
        <v>6.6527740479203401E-2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93" t="s">
        <v>1646</v>
      </c>
      <c r="D14" s="323">
        <v>1.3</v>
      </c>
      <c r="E14" s="168" t="s">
        <v>556</v>
      </c>
      <c r="F14" s="168">
        <v>2</v>
      </c>
      <c r="G14" s="168"/>
      <c r="H14" s="168"/>
      <c r="I14" s="323">
        <f>IF('FR 04006'!$H14&lt;&gt;"",'FR 04006'!$D14*'FR 04006'!$F14*'FR 04006'!$H14,'FR 04006'!$D14*'FR 04006'!$F14)</f>
        <v>2.6</v>
      </c>
    </row>
    <row r="15" spans="1:14" ht="16.5" customHeight="1" x14ac:dyDescent="0.3">
      <c r="A15" s="168">
        <v>20</v>
      </c>
      <c r="B15" s="180" t="s">
        <v>609</v>
      </c>
      <c r="C15" s="184" t="s">
        <v>1694</v>
      </c>
      <c r="D15" s="323">
        <v>0.04</v>
      </c>
      <c r="E15" s="168" t="s">
        <v>610</v>
      </c>
      <c r="F15" s="168">
        <v>1</v>
      </c>
      <c r="G15" s="180" t="s">
        <v>829</v>
      </c>
      <c r="H15" s="179">
        <v>3.75</v>
      </c>
      <c r="I15" s="323">
        <f>IF('FR 04006'!$H15&lt;&gt;"",'FR 04006'!$D15*'FR 04006'!$F15*'FR 04006'!$H15,'FR 04006'!$D15*'FR 04006'!$F15)</f>
        <v>0.15</v>
      </c>
    </row>
    <row r="16" spans="1:14" s="178" customFormat="1" x14ac:dyDescent="0.3">
      <c r="H16" s="574" t="s">
        <v>547</v>
      </c>
      <c r="I16" s="575">
        <f>SUM(I14:I15)</f>
        <v>2.75</v>
      </c>
    </row>
  </sheetData>
  <pageMargins left="0.5" right="0.5" top="0.75" bottom="0.75" header="0.3" footer="0.3"/>
  <pageSetup scale="49" orientation="landscape" r:id="rId1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6.109375" style="161" customWidth="1"/>
    <col min="3" max="3" width="44.109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31.109375" style="161" customWidth="1"/>
    <col min="8" max="8" width="13.88671875" style="161" bestFit="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2.8610709000000001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1668</v>
      </c>
      <c r="D4" s="570" t="s">
        <v>541</v>
      </c>
      <c r="J4" s="570" t="s">
        <v>538</v>
      </c>
      <c r="M4" s="570" t="s">
        <v>539</v>
      </c>
      <c r="N4" s="336">
        <f>N1*N2</f>
        <v>2.8610709000000001</v>
      </c>
    </row>
    <row r="5" spans="1:14" x14ac:dyDescent="0.3">
      <c r="A5" s="570" t="s">
        <v>537</v>
      </c>
      <c r="B5" s="604" t="s">
        <v>224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1669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1670</v>
      </c>
      <c r="D10" s="302">
        <v>4.2</v>
      </c>
      <c r="E10" s="168">
        <v>105</v>
      </c>
      <c r="F10" s="168" t="s">
        <v>573</v>
      </c>
      <c r="G10" s="168">
        <v>95</v>
      </c>
      <c r="H10" s="219" t="s">
        <v>573</v>
      </c>
      <c r="I10" s="269" t="s">
        <v>1671</v>
      </c>
      <c r="J10" s="227">
        <f>0.105*0.095</f>
        <v>9.9749999999999995E-3</v>
      </c>
      <c r="K10" s="610">
        <v>2E-3</v>
      </c>
      <c r="L10" s="219">
        <v>2710</v>
      </c>
      <c r="M10" s="222">
        <v>1</v>
      </c>
      <c r="N10" s="322">
        <f>IF(J10="",D10*M10,D10*J10*K10*L10*M10)</f>
        <v>0.22707090000000002</v>
      </c>
    </row>
    <row r="11" spans="1:14" s="178" customFormat="1" x14ac:dyDescent="0.3">
      <c r="M11" s="574" t="s">
        <v>547</v>
      </c>
      <c r="N11" s="575">
        <f>SUM(N10:N10)</f>
        <v>0.22707090000000002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68" t="s">
        <v>699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D14*F14</f>
        <v>1.3</v>
      </c>
    </row>
    <row r="15" spans="1:14" x14ac:dyDescent="0.3">
      <c r="A15" s="168">
        <v>20</v>
      </c>
      <c r="B15" s="285" t="s">
        <v>700</v>
      </c>
      <c r="C15" s="171" t="s">
        <v>701</v>
      </c>
      <c r="D15" s="323">
        <v>0.01</v>
      </c>
      <c r="E15" s="168" t="s">
        <v>593</v>
      </c>
      <c r="F15" s="168">
        <v>58.4</v>
      </c>
      <c r="G15" s="180" t="s">
        <v>710</v>
      </c>
      <c r="H15" s="179">
        <v>1</v>
      </c>
      <c r="I15" s="323">
        <f>IF('FR 04007'!$H15&lt;&gt;"",'FR 04007'!$D15*'FR 04007'!$F15*'FR 04007'!$H15,'FR 04007'!$D15*'FR 04007'!$F15)</f>
        <v>0.58399999999999996</v>
      </c>
    </row>
    <row r="16" spans="1:14" x14ac:dyDescent="0.3">
      <c r="A16" s="168">
        <v>30</v>
      </c>
      <c r="B16" s="180" t="s">
        <v>702</v>
      </c>
      <c r="C16" s="168" t="s">
        <v>703</v>
      </c>
      <c r="D16" s="323">
        <v>0.25</v>
      </c>
      <c r="E16" s="168" t="s">
        <v>704</v>
      </c>
      <c r="F16" s="168">
        <v>3</v>
      </c>
      <c r="G16" s="168"/>
      <c r="H16" s="168"/>
      <c r="I16" s="323">
        <f>IF('FR 04007'!$H16&lt;&gt;"",'FR 04007'!$D16*'FR 04007'!$F16*'FR 04007'!$H16,'FR 04007'!$D16*'FR 04007'!$F16)</f>
        <v>0.75</v>
      </c>
    </row>
    <row r="17" spans="8:9" s="178" customFormat="1" x14ac:dyDescent="0.3">
      <c r="H17" s="574" t="s">
        <v>547</v>
      </c>
      <c r="I17" s="575">
        <f>SUM(I14:I16)</f>
        <v>2.6339999999999999</v>
      </c>
    </row>
  </sheetData>
  <pageMargins left="0.5" right="0.5" top="0.75" bottom="0.75" header="0.3" footer="0.3"/>
  <pageSetup scale="48" orientation="landscape" r:id="rId1"/>
  <drawing r:id="rId2"/>
</worksheet>
</file>

<file path=xl/worksheets/sheet1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5" style="248" bestFit="1" customWidth="1"/>
    <col min="2" max="2" width="35.6640625" style="248" customWidth="1"/>
    <col min="3" max="3" width="34.88671875" style="248" customWidth="1"/>
    <col min="4" max="4" width="13.5546875" style="248" bestFit="1" customWidth="1"/>
    <col min="5" max="5" width="11.109375" style="248" customWidth="1"/>
    <col min="6" max="6" width="12" style="248" bestFit="1" customWidth="1"/>
    <col min="7" max="7" width="20.33203125" style="248" customWidth="1"/>
    <col min="8" max="8" width="12" style="248" customWidth="1"/>
    <col min="9" max="9" width="20.6640625" style="248" customWidth="1"/>
    <col min="10" max="10" width="13.88671875" style="248" bestFit="1" customWidth="1"/>
    <col min="11" max="11" width="10.44140625" style="248" bestFit="1" customWidth="1"/>
    <col min="12" max="12" width="11.33203125" style="248" bestFit="1" customWidth="1"/>
    <col min="13" max="13" width="19.109375" style="248" customWidth="1"/>
    <col min="14" max="14" width="15" style="248" bestFit="1" customWidth="1"/>
    <col min="15" max="15" width="9.109375" style="248"/>
    <col min="16" max="16" width="9.44140625" style="248" bestFit="1" customWidth="1"/>
    <col min="17" max="18" width="9.109375" style="248"/>
    <col min="19" max="19" width="10.44140625" style="248" bestFit="1" customWidth="1"/>
    <col min="20" max="20" width="9.44140625" style="248" bestFit="1" customWidth="1"/>
    <col min="21" max="21" width="9.109375" style="248"/>
    <col min="22" max="22" width="9.44140625" style="248" bestFit="1" customWidth="1"/>
    <col min="23" max="23" width="9.109375" style="248"/>
    <col min="24" max="25" width="10.109375" style="248" bestFit="1" customWidth="1"/>
    <col min="26" max="28" width="9.33203125" style="248" bestFit="1" customWidth="1"/>
    <col min="29" max="16384" width="9.109375" style="248"/>
  </cols>
  <sheetData>
    <row r="1" spans="1:14" x14ac:dyDescent="0.3">
      <c r="A1" s="602" t="s">
        <v>523</v>
      </c>
      <c r="B1" s="248" t="s">
        <v>524</v>
      </c>
      <c r="J1" s="603" t="s">
        <v>528</v>
      </c>
      <c r="K1" s="250">
        <v>81</v>
      </c>
      <c r="M1" s="602" t="s">
        <v>546</v>
      </c>
      <c r="N1" s="364">
        <f>N11+J27+I27</f>
        <v>14.75466988</v>
      </c>
    </row>
    <row r="2" spans="1:14" x14ac:dyDescent="0.3">
      <c r="A2" s="602" t="s">
        <v>532</v>
      </c>
      <c r="B2" s="248" t="s">
        <v>1605</v>
      </c>
      <c r="C2" s="556" t="s">
        <v>732</v>
      </c>
      <c r="D2" s="580" t="s">
        <v>536</v>
      </c>
      <c r="M2" s="602" t="s">
        <v>533</v>
      </c>
      <c r="N2" s="296">
        <v>1</v>
      </c>
    </row>
    <row r="3" spans="1:14" x14ac:dyDescent="0.3">
      <c r="A3" s="602" t="s">
        <v>534</v>
      </c>
      <c r="B3" s="248" t="s">
        <v>211</v>
      </c>
      <c r="D3" s="602" t="s">
        <v>538</v>
      </c>
      <c r="J3" s="602" t="s">
        <v>536</v>
      </c>
    </row>
    <row r="4" spans="1:14" x14ac:dyDescent="0.3">
      <c r="A4" s="602" t="s">
        <v>545</v>
      </c>
      <c r="B4" s="319" t="s">
        <v>227</v>
      </c>
      <c r="D4" s="602" t="s">
        <v>541</v>
      </c>
      <c r="J4" s="602" t="s">
        <v>538</v>
      </c>
      <c r="M4" s="602" t="s">
        <v>539</v>
      </c>
      <c r="N4" s="364">
        <f>N1*N2</f>
        <v>14.75466988</v>
      </c>
    </row>
    <row r="5" spans="1:14" x14ac:dyDescent="0.3">
      <c r="A5" s="602" t="s">
        <v>537</v>
      </c>
      <c r="B5" s="604" t="s">
        <v>226</v>
      </c>
      <c r="J5" s="602" t="s">
        <v>541</v>
      </c>
    </row>
    <row r="6" spans="1:14" x14ac:dyDescent="0.3">
      <c r="A6" s="602" t="s">
        <v>540</v>
      </c>
      <c r="B6" s="248" t="s">
        <v>36</v>
      </c>
    </row>
    <row r="7" spans="1:14" x14ac:dyDescent="0.3">
      <c r="A7" s="602" t="s">
        <v>542</v>
      </c>
      <c r="B7" s="248" t="s">
        <v>1614</v>
      </c>
    </row>
    <row r="9" spans="1:14" s="2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ht="28.8" x14ac:dyDescent="0.3">
      <c r="A10" s="184">
        <v>10</v>
      </c>
      <c r="B10" s="184" t="s">
        <v>707</v>
      </c>
      <c r="C10" s="184" t="s">
        <v>1615</v>
      </c>
      <c r="D10" s="307">
        <v>4.2</v>
      </c>
      <c r="E10" s="184">
        <v>31.5</v>
      </c>
      <c r="F10" s="184" t="s">
        <v>573</v>
      </c>
      <c r="G10" s="184">
        <v>30</v>
      </c>
      <c r="H10" s="268" t="s">
        <v>573</v>
      </c>
      <c r="I10" s="269" t="s">
        <v>1616</v>
      </c>
      <c r="J10" s="274">
        <v>9.4499999999999998E-4</v>
      </c>
      <c r="K10" s="303">
        <v>0.21199999999999999</v>
      </c>
      <c r="L10" s="268">
        <v>2710</v>
      </c>
      <c r="M10" s="271">
        <v>1</v>
      </c>
      <c r="N10" s="363">
        <f>IF(J10="",D10*M10,D10*J10*K10*L10*M10)</f>
        <v>2.2802698800000001</v>
      </c>
    </row>
    <row r="11" spans="1:14" s="278" customFormat="1" x14ac:dyDescent="0.3">
      <c r="M11" s="577" t="s">
        <v>547</v>
      </c>
      <c r="N11" s="579">
        <f>SUM(N10:N10)</f>
        <v>2.2802698800000001</v>
      </c>
    </row>
    <row r="13" spans="1:14" s="278" customFormat="1" x14ac:dyDescent="0.3">
      <c r="A13" s="576" t="s">
        <v>544</v>
      </c>
      <c r="B13" s="576" t="s">
        <v>548</v>
      </c>
      <c r="C13" s="576" t="s">
        <v>549</v>
      </c>
      <c r="D13" s="576" t="s">
        <v>550</v>
      </c>
      <c r="E13" s="576" t="s">
        <v>551</v>
      </c>
      <c r="F13" s="576" t="s">
        <v>28</v>
      </c>
      <c r="G13" s="576" t="s">
        <v>552</v>
      </c>
      <c r="H13" s="576" t="s">
        <v>553</v>
      </c>
      <c r="I13" s="576" t="s">
        <v>547</v>
      </c>
    </row>
    <row r="14" spans="1:14" ht="28.8" x14ac:dyDescent="0.3">
      <c r="A14" s="184">
        <v>10</v>
      </c>
      <c r="B14" s="180" t="s">
        <v>589</v>
      </c>
      <c r="C14" s="193" t="s">
        <v>1617</v>
      </c>
      <c r="D14" s="362">
        <v>1.3</v>
      </c>
      <c r="E14" s="184" t="s">
        <v>556</v>
      </c>
      <c r="F14" s="184">
        <v>1</v>
      </c>
      <c r="G14" s="184"/>
      <c r="H14" s="184">
        <v>1</v>
      </c>
      <c r="I14" s="363">
        <f>IF($H14&lt;&gt;"",$D14*$F14*$H14,$D14*$F14)</f>
        <v>1.3</v>
      </c>
    </row>
    <row r="15" spans="1:14" ht="28.8" x14ac:dyDescent="0.3">
      <c r="A15" s="184">
        <v>20</v>
      </c>
      <c r="B15" s="180" t="s">
        <v>609</v>
      </c>
      <c r="C15" s="184" t="s">
        <v>1618</v>
      </c>
      <c r="D15" s="362">
        <v>0.04</v>
      </c>
      <c r="E15" s="184" t="s">
        <v>610</v>
      </c>
      <c r="F15" s="184">
        <f>85.2+8*1</f>
        <v>93.2</v>
      </c>
      <c r="G15" s="184" t="s">
        <v>723</v>
      </c>
      <c r="H15" s="184">
        <v>1</v>
      </c>
      <c r="I15" s="363">
        <f t="shared" ref="I15:I26" si="0">IF($H15&lt;&gt;"",$D15*$F15*$H15,$D15*$F15)</f>
        <v>3.7280000000000002</v>
      </c>
    </row>
    <row r="16" spans="1:14" x14ac:dyDescent="0.3">
      <c r="A16" s="184">
        <v>30</v>
      </c>
      <c r="B16" s="180" t="s">
        <v>785</v>
      </c>
      <c r="C16" s="193" t="s">
        <v>1619</v>
      </c>
      <c r="D16" s="362">
        <v>0.65</v>
      </c>
      <c r="E16" s="184" t="s">
        <v>556</v>
      </c>
      <c r="F16" s="184">
        <v>1</v>
      </c>
      <c r="G16" s="184"/>
      <c r="H16" s="184">
        <v>1</v>
      </c>
      <c r="I16" s="363">
        <f t="shared" si="0"/>
        <v>0.65</v>
      </c>
    </row>
    <row r="17" spans="1:10" s="311" customFormat="1" ht="17.25" customHeight="1" x14ac:dyDescent="0.3">
      <c r="A17" s="184">
        <v>40</v>
      </c>
      <c r="B17" s="285" t="s">
        <v>609</v>
      </c>
      <c r="C17" s="183" t="s">
        <v>1620</v>
      </c>
      <c r="D17" s="241">
        <v>0.04</v>
      </c>
      <c r="E17" s="183" t="s">
        <v>610</v>
      </c>
      <c r="F17" s="183">
        <v>6.71</v>
      </c>
      <c r="G17" s="183" t="s">
        <v>723</v>
      </c>
      <c r="H17" s="183">
        <v>1</v>
      </c>
      <c r="I17" s="363">
        <f t="shared" si="0"/>
        <v>0.26840000000000003</v>
      </c>
    </row>
    <row r="18" spans="1:10" x14ac:dyDescent="0.3">
      <c r="A18" s="184">
        <v>50</v>
      </c>
      <c r="B18" s="180" t="s">
        <v>785</v>
      </c>
      <c r="C18" s="193" t="s">
        <v>1619</v>
      </c>
      <c r="D18" s="362">
        <v>0.65</v>
      </c>
      <c r="E18" s="184" t="s">
        <v>556</v>
      </c>
      <c r="F18" s="184">
        <v>1</v>
      </c>
      <c r="G18" s="184"/>
      <c r="H18" s="184">
        <v>1</v>
      </c>
      <c r="I18" s="363">
        <f t="shared" si="0"/>
        <v>0.65</v>
      </c>
    </row>
    <row r="19" spans="1:10" x14ac:dyDescent="0.3">
      <c r="A19" s="184">
        <v>60</v>
      </c>
      <c r="B19" s="180" t="s">
        <v>609</v>
      </c>
      <c r="C19" s="184" t="s">
        <v>1621</v>
      </c>
      <c r="D19" s="362">
        <v>0.04</v>
      </c>
      <c r="E19" s="184" t="s">
        <v>610</v>
      </c>
      <c r="F19" s="184">
        <f>40.2+8</f>
        <v>48.2</v>
      </c>
      <c r="G19" s="184" t="s">
        <v>723</v>
      </c>
      <c r="H19" s="184">
        <v>1</v>
      </c>
      <c r="I19" s="363">
        <f t="shared" si="0"/>
        <v>1.9280000000000002</v>
      </c>
    </row>
    <row r="20" spans="1:10" x14ac:dyDescent="0.3">
      <c r="A20" s="184">
        <v>70</v>
      </c>
      <c r="B20" s="193" t="s">
        <v>1612</v>
      </c>
      <c r="C20" s="193" t="s">
        <v>1622</v>
      </c>
      <c r="D20" s="284">
        <v>0.35</v>
      </c>
      <c r="E20" s="184" t="s">
        <v>843</v>
      </c>
      <c r="F20" s="184">
        <v>1</v>
      </c>
      <c r="G20" s="184"/>
      <c r="H20" s="184">
        <v>1</v>
      </c>
      <c r="I20" s="363">
        <f t="shared" si="0"/>
        <v>0.35</v>
      </c>
    </row>
    <row r="21" spans="1:10" x14ac:dyDescent="0.3">
      <c r="A21" s="184">
        <v>80</v>
      </c>
      <c r="B21" s="193" t="s">
        <v>1623</v>
      </c>
      <c r="C21" s="193" t="s">
        <v>1624</v>
      </c>
      <c r="D21" s="284">
        <v>0.35</v>
      </c>
      <c r="E21" s="184" t="s">
        <v>843</v>
      </c>
      <c r="F21" s="184">
        <v>1</v>
      </c>
      <c r="G21" s="184"/>
      <c r="H21" s="184">
        <v>1</v>
      </c>
      <c r="I21" s="363">
        <f t="shared" si="0"/>
        <v>0.35</v>
      </c>
    </row>
    <row r="22" spans="1:10" x14ac:dyDescent="0.3">
      <c r="A22" s="184">
        <v>90</v>
      </c>
      <c r="B22" s="193" t="s">
        <v>1612</v>
      </c>
      <c r="C22" s="193" t="s">
        <v>1625</v>
      </c>
      <c r="D22" s="362">
        <v>0.35</v>
      </c>
      <c r="E22" s="184" t="s">
        <v>843</v>
      </c>
      <c r="F22" s="184">
        <v>3</v>
      </c>
      <c r="G22" s="184"/>
      <c r="H22" s="184">
        <v>1</v>
      </c>
      <c r="I22" s="363">
        <f t="shared" si="0"/>
        <v>1.0499999999999998</v>
      </c>
    </row>
    <row r="23" spans="1:10" x14ac:dyDescent="0.3">
      <c r="A23" s="184">
        <v>100</v>
      </c>
      <c r="B23" s="193" t="s">
        <v>1612</v>
      </c>
      <c r="C23" s="193" t="s">
        <v>1626</v>
      </c>
      <c r="D23" s="362">
        <v>0.35</v>
      </c>
      <c r="E23" s="184" t="s">
        <v>843</v>
      </c>
      <c r="F23" s="184">
        <v>1</v>
      </c>
      <c r="G23" s="184"/>
      <c r="H23" s="184">
        <v>1</v>
      </c>
      <c r="I23" s="363">
        <f t="shared" si="0"/>
        <v>0.35</v>
      </c>
    </row>
    <row r="24" spans="1:10" x14ac:dyDescent="0.3">
      <c r="A24" s="184">
        <v>110</v>
      </c>
      <c r="B24" s="193" t="s">
        <v>1249</v>
      </c>
      <c r="C24" s="193" t="s">
        <v>1627</v>
      </c>
      <c r="D24" s="362">
        <v>0.35</v>
      </c>
      <c r="E24" s="184" t="s">
        <v>843</v>
      </c>
      <c r="F24" s="184">
        <v>1</v>
      </c>
      <c r="G24" s="184"/>
      <c r="H24" s="184">
        <v>1</v>
      </c>
      <c r="I24" s="363">
        <f t="shared" si="0"/>
        <v>0.35</v>
      </c>
    </row>
    <row r="25" spans="1:10" x14ac:dyDescent="0.3">
      <c r="A25" s="184">
        <v>120</v>
      </c>
      <c r="B25" s="315" t="s">
        <v>672</v>
      </c>
      <c r="C25" s="184" t="s">
        <v>1628</v>
      </c>
      <c r="D25" s="284">
        <v>0.5</v>
      </c>
      <c r="E25" s="180" t="s">
        <v>556</v>
      </c>
      <c r="F25" s="184">
        <v>1</v>
      </c>
      <c r="G25" s="184"/>
      <c r="H25" s="184">
        <v>1</v>
      </c>
      <c r="I25" s="363">
        <f t="shared" si="0"/>
        <v>0.5</v>
      </c>
    </row>
    <row r="26" spans="1:10" x14ac:dyDescent="0.3">
      <c r="A26" s="184">
        <v>130</v>
      </c>
      <c r="B26" s="180" t="s">
        <v>659</v>
      </c>
      <c r="C26" s="184" t="s">
        <v>1629</v>
      </c>
      <c r="D26" s="284">
        <v>0.5</v>
      </c>
      <c r="E26" s="180" t="s">
        <v>556</v>
      </c>
      <c r="F26" s="184">
        <v>2</v>
      </c>
      <c r="G26" s="184"/>
      <c r="H26" s="184">
        <v>1</v>
      </c>
      <c r="I26" s="363">
        <f t="shared" si="0"/>
        <v>1</v>
      </c>
    </row>
    <row r="27" spans="1:10" s="278" customFormat="1" x14ac:dyDescent="0.3">
      <c r="H27" s="577" t="s">
        <v>547</v>
      </c>
      <c r="I27" s="579">
        <f>SUM(I14:I26)</f>
        <v>12.474399999999999</v>
      </c>
    </row>
    <row r="29" spans="1:10" s="278" customFormat="1" ht="14.25" customHeight="1" x14ac:dyDescent="0.3">
      <c r="A29" s="576" t="s">
        <v>544</v>
      </c>
      <c r="B29" s="576" t="s">
        <v>566</v>
      </c>
      <c r="C29" s="576" t="s">
        <v>549</v>
      </c>
      <c r="D29" s="576" t="s">
        <v>550</v>
      </c>
      <c r="E29" s="576" t="s">
        <v>567</v>
      </c>
      <c r="F29" s="576" t="s">
        <v>568</v>
      </c>
      <c r="G29" s="576" t="s">
        <v>569</v>
      </c>
      <c r="H29" s="576" t="s">
        <v>570</v>
      </c>
      <c r="I29" s="576" t="s">
        <v>28</v>
      </c>
      <c r="J29" s="576" t="s">
        <v>547</v>
      </c>
    </row>
    <row r="30" spans="1:10" x14ac:dyDescent="0.3">
      <c r="A30" s="184">
        <v>10</v>
      </c>
      <c r="B30" s="225" t="s">
        <v>684</v>
      </c>
      <c r="C30" s="184" t="s">
        <v>1630</v>
      </c>
      <c r="D30" s="362">
        <v>0.05</v>
      </c>
      <c r="E30" s="184">
        <v>6</v>
      </c>
      <c r="F30" s="606" t="s">
        <v>573</v>
      </c>
      <c r="G30" s="184">
        <v>25</v>
      </c>
      <c r="H30" s="193" t="s">
        <v>573</v>
      </c>
      <c r="I30" s="607">
        <v>1</v>
      </c>
      <c r="J30" s="362">
        <f>D30*I30</f>
        <v>0.05</v>
      </c>
    </row>
    <row r="31" spans="1:10" x14ac:dyDescent="0.3">
      <c r="A31" s="184">
        <v>20</v>
      </c>
      <c r="B31" s="608" t="s">
        <v>618</v>
      </c>
      <c r="C31" s="184" t="s">
        <v>1631</v>
      </c>
      <c r="D31" s="362">
        <v>0.03</v>
      </c>
      <c r="E31" s="184">
        <v>6</v>
      </c>
      <c r="F31" s="606" t="s">
        <v>573</v>
      </c>
      <c r="G31" s="184"/>
      <c r="H31" s="193"/>
      <c r="I31" s="607">
        <v>2</v>
      </c>
      <c r="J31" s="362">
        <f>D31*I31</f>
        <v>0.06</v>
      </c>
    </row>
    <row r="32" spans="1:10" s="278" customFormat="1" x14ac:dyDescent="0.3">
      <c r="B32" s="609"/>
      <c r="I32" s="577" t="s">
        <v>547</v>
      </c>
      <c r="J32" s="579">
        <f>SUM(J30:J31)</f>
        <v>0.11</v>
      </c>
    </row>
  </sheetData>
  <hyperlinks>
    <hyperlink ref="D2" location="'Throttle Pedal'!A1" display="FileLink1"/>
  </hyperlinks>
  <pageMargins left="0.5" right="0.5" top="0.75" bottom="0.75" header="0.3" footer="0.3"/>
  <pageSetup scale="52" orientation="landscape" r:id="rId1"/>
  <drawing r:id="rId2"/>
</worksheet>
</file>

<file path=xl/worksheets/sheet1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31"/>
  <sheetViews>
    <sheetView showGridLines="0" workbookViewId="0"/>
  </sheetViews>
  <sheetFormatPr defaultColWidth="9.109375" defaultRowHeight="14.4" x14ac:dyDescent="0.3"/>
  <cols>
    <col min="1" max="1" width="15" style="248" bestFit="1" customWidth="1"/>
    <col min="2" max="2" width="36.109375" style="248" customWidth="1"/>
    <col min="3" max="3" width="37.88671875" style="248" customWidth="1"/>
    <col min="4" max="4" width="12.6640625" style="248" customWidth="1"/>
    <col min="5" max="5" width="10.44140625" style="248" customWidth="1"/>
    <col min="6" max="6" width="9.6640625" style="248" customWidth="1"/>
    <col min="7" max="7" width="17.33203125" style="248" customWidth="1"/>
    <col min="8" max="8" width="13.33203125" style="248" customWidth="1"/>
    <col min="9" max="9" width="19.44140625" style="248" customWidth="1"/>
    <col min="10" max="10" width="13.88671875" style="248" bestFit="1" customWidth="1"/>
    <col min="11" max="11" width="10.44140625" style="248" bestFit="1" customWidth="1"/>
    <col min="12" max="12" width="11.33203125" style="248" bestFit="1" customWidth="1"/>
    <col min="13" max="13" width="19.33203125" style="248" customWidth="1"/>
    <col min="14" max="14" width="15" style="248" bestFit="1" customWidth="1"/>
    <col min="15" max="15" width="9.109375" style="248"/>
    <col min="16" max="16" width="9.44140625" style="248" bestFit="1" customWidth="1"/>
    <col min="17" max="18" width="9.109375" style="248"/>
    <col min="19" max="19" width="10.44140625" style="248" bestFit="1" customWidth="1"/>
    <col min="20" max="20" width="9.44140625" style="248" bestFit="1" customWidth="1"/>
    <col min="21" max="21" width="9.109375" style="248"/>
    <col min="22" max="22" width="9.44140625" style="248" bestFit="1" customWidth="1"/>
    <col min="23" max="23" width="9.109375" style="248"/>
    <col min="24" max="25" width="10.109375" style="248" bestFit="1" customWidth="1"/>
    <col min="26" max="28" width="9.33203125" style="248" bestFit="1" customWidth="1"/>
    <col min="29" max="16384" width="9.109375" style="248"/>
  </cols>
  <sheetData>
    <row r="1" spans="1:14" x14ac:dyDescent="0.3">
      <c r="A1" s="602" t="s">
        <v>523</v>
      </c>
      <c r="B1" s="248" t="s">
        <v>524</v>
      </c>
      <c r="J1" s="603" t="s">
        <v>528</v>
      </c>
      <c r="K1" s="250">
        <v>81</v>
      </c>
      <c r="M1" s="602" t="s">
        <v>546</v>
      </c>
      <c r="N1" s="364">
        <f>N11+I26+J31</f>
        <v>9.3385921920000001</v>
      </c>
    </row>
    <row r="2" spans="1:14" x14ac:dyDescent="0.3">
      <c r="A2" s="602" t="s">
        <v>532</v>
      </c>
      <c r="B2" s="248" t="s">
        <v>1418</v>
      </c>
      <c r="D2" s="602" t="s">
        <v>536</v>
      </c>
      <c r="M2" s="602" t="s">
        <v>533</v>
      </c>
      <c r="N2" s="296">
        <v>1</v>
      </c>
    </row>
    <row r="3" spans="1:14" x14ac:dyDescent="0.3">
      <c r="A3" s="602" t="s">
        <v>534</v>
      </c>
      <c r="B3" s="248" t="s">
        <v>211</v>
      </c>
      <c r="D3" s="602" t="s">
        <v>538</v>
      </c>
      <c r="J3" s="602" t="s">
        <v>536</v>
      </c>
    </row>
    <row r="4" spans="1:14" x14ac:dyDescent="0.3">
      <c r="A4" s="602" t="s">
        <v>545</v>
      </c>
      <c r="B4" s="319" t="s">
        <v>229</v>
      </c>
      <c r="D4" s="602" t="s">
        <v>541</v>
      </c>
      <c r="J4" s="602" t="s">
        <v>538</v>
      </c>
      <c r="M4" s="602" t="s">
        <v>539</v>
      </c>
      <c r="N4" s="364">
        <f>N1*N2</f>
        <v>9.3385921920000001</v>
      </c>
    </row>
    <row r="5" spans="1:14" x14ac:dyDescent="0.3">
      <c r="A5" s="602" t="s">
        <v>537</v>
      </c>
      <c r="B5" s="604" t="s">
        <v>228</v>
      </c>
      <c r="J5" s="602" t="s">
        <v>541</v>
      </c>
    </row>
    <row r="6" spans="1:14" x14ac:dyDescent="0.3">
      <c r="A6" s="602" t="s">
        <v>540</v>
      </c>
      <c r="B6" s="248" t="s">
        <v>36</v>
      </c>
    </row>
    <row r="7" spans="1:14" x14ac:dyDescent="0.3">
      <c r="A7" s="602" t="s">
        <v>542</v>
      </c>
      <c r="B7" s="248" t="s">
        <v>1632</v>
      </c>
    </row>
    <row r="9" spans="1:14" s="2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ht="28.8" x14ac:dyDescent="0.3">
      <c r="A10" s="184">
        <v>10</v>
      </c>
      <c r="B10" s="184" t="s">
        <v>707</v>
      </c>
      <c r="C10" s="184" t="s">
        <v>1633</v>
      </c>
      <c r="D10" s="307">
        <v>4.2</v>
      </c>
      <c r="E10" s="184">
        <v>43</v>
      </c>
      <c r="F10" s="184" t="s">
        <v>573</v>
      </c>
      <c r="G10" s="184">
        <v>32</v>
      </c>
      <c r="H10" s="268" t="s">
        <v>573</v>
      </c>
      <c r="I10" s="269" t="s">
        <v>1634</v>
      </c>
      <c r="J10" s="274">
        <v>1.3760000000000001E-3</v>
      </c>
      <c r="K10" s="303">
        <v>8.1000000000000003E-2</v>
      </c>
      <c r="L10" s="268">
        <v>2710</v>
      </c>
      <c r="M10" s="271">
        <v>1</v>
      </c>
      <c r="N10" s="363">
        <f>IF(J10="",D10*M10,D10*J10*K10*L10*M10)</f>
        <v>1.2685921920000003</v>
      </c>
    </row>
    <row r="11" spans="1:14" s="278" customFormat="1" x14ac:dyDescent="0.3">
      <c r="M11" s="577" t="s">
        <v>547</v>
      </c>
      <c r="N11" s="579">
        <f>SUM(N10:N10)</f>
        <v>1.2685921920000003</v>
      </c>
    </row>
    <row r="13" spans="1:14" s="278" customFormat="1" x14ac:dyDescent="0.3">
      <c r="A13" s="576" t="s">
        <v>544</v>
      </c>
      <c r="B13" s="576" t="s">
        <v>548</v>
      </c>
      <c r="C13" s="576" t="s">
        <v>549</v>
      </c>
      <c r="D13" s="576" t="s">
        <v>550</v>
      </c>
      <c r="E13" s="576" t="s">
        <v>551</v>
      </c>
      <c r="F13" s="576" t="s">
        <v>28</v>
      </c>
      <c r="G13" s="576" t="s">
        <v>552</v>
      </c>
      <c r="H13" s="576" t="s">
        <v>553</v>
      </c>
      <c r="I13" s="576" t="s">
        <v>547</v>
      </c>
    </row>
    <row r="14" spans="1:14" x14ac:dyDescent="0.3">
      <c r="A14" s="184">
        <v>10</v>
      </c>
      <c r="B14" s="180" t="s">
        <v>589</v>
      </c>
      <c r="C14" s="193" t="s">
        <v>1635</v>
      </c>
      <c r="D14" s="362">
        <v>1.3</v>
      </c>
      <c r="E14" s="184" t="s">
        <v>556</v>
      </c>
      <c r="F14" s="184">
        <v>1</v>
      </c>
      <c r="G14" s="184"/>
      <c r="H14" s="184"/>
      <c r="I14" s="362">
        <f>IF('FR 04009'!$H14&lt;&gt;"",'FR 04009'!$D14*'FR 04009'!$F14*'FR 04009'!$H14,'FR 04009'!$D14*'FR 04009'!$F14)</f>
        <v>1.3</v>
      </c>
    </row>
    <row r="15" spans="1:14" ht="28.8" x14ac:dyDescent="0.3">
      <c r="A15" s="184">
        <v>20</v>
      </c>
      <c r="B15" s="180" t="s">
        <v>609</v>
      </c>
      <c r="C15" s="184" t="s">
        <v>1636</v>
      </c>
      <c r="D15" s="362">
        <v>0.04</v>
      </c>
      <c r="E15" s="184" t="s">
        <v>610</v>
      </c>
      <c r="F15" s="184">
        <v>5.3</v>
      </c>
      <c r="G15" s="184" t="s">
        <v>723</v>
      </c>
      <c r="H15" s="184">
        <v>1</v>
      </c>
      <c r="I15" s="363">
        <f>IF('FR 04009'!$H15&lt;&gt;"",'FR 04009'!$D15*'FR 04009'!$F15*'FR 04009'!$H15,'FR 04009'!$D15*'FR 04009'!$F15)</f>
        <v>0.21199999999999999</v>
      </c>
    </row>
    <row r="16" spans="1:14" x14ac:dyDescent="0.3">
      <c r="A16" s="184">
        <v>30</v>
      </c>
      <c r="B16" s="180" t="s">
        <v>785</v>
      </c>
      <c r="C16" s="193" t="s">
        <v>1619</v>
      </c>
      <c r="D16" s="362">
        <v>0.65</v>
      </c>
      <c r="E16" s="184" t="s">
        <v>556</v>
      </c>
      <c r="F16" s="184">
        <v>1</v>
      </c>
      <c r="G16" s="184"/>
      <c r="H16" s="184"/>
      <c r="I16" s="362">
        <f>IF('FR 04009'!$H16&lt;&gt;"",'FR 04009'!$D16*'FR 04009'!$F16*'FR 04009'!$H16,'FR 04009'!$D16*'FR 04009'!$F16)</f>
        <v>0.65</v>
      </c>
    </row>
    <row r="17" spans="1:10" ht="28.8" x14ac:dyDescent="0.3">
      <c r="A17" s="184">
        <v>40</v>
      </c>
      <c r="B17" s="180" t="s">
        <v>609</v>
      </c>
      <c r="C17" s="184" t="s">
        <v>1637</v>
      </c>
      <c r="D17" s="362">
        <v>0.04</v>
      </c>
      <c r="E17" s="184" t="s">
        <v>610</v>
      </c>
      <c r="F17" s="184">
        <v>2</v>
      </c>
      <c r="G17" s="184" t="s">
        <v>723</v>
      </c>
      <c r="H17" s="184">
        <v>1</v>
      </c>
      <c r="I17" s="363">
        <f>IF('FR 04009'!$H17&lt;&gt;"",'FR 04009'!$D17*'FR 04009'!$F17*'FR 04009'!$H17,'FR 04009'!$D17*'FR 04009'!$F17)</f>
        <v>0.08</v>
      </c>
    </row>
    <row r="18" spans="1:10" x14ac:dyDescent="0.3">
      <c r="A18" s="184">
        <v>50</v>
      </c>
      <c r="B18" s="180" t="s">
        <v>785</v>
      </c>
      <c r="C18" s="193" t="s">
        <v>1619</v>
      </c>
      <c r="D18" s="362">
        <v>0.65</v>
      </c>
      <c r="E18" s="184" t="s">
        <v>556</v>
      </c>
      <c r="F18" s="184">
        <v>1</v>
      </c>
      <c r="G18" s="184"/>
      <c r="H18" s="184"/>
      <c r="I18" s="362">
        <f>IF('FR 04009'!$H18&lt;&gt;"",'FR 04009'!$D18*'FR 04009'!$F18*'FR 04009'!$H18,'FR 04009'!$D18*'FR 04009'!$F18)</f>
        <v>0.65</v>
      </c>
    </row>
    <row r="19" spans="1:10" ht="28.8" x14ac:dyDescent="0.3">
      <c r="A19" s="184">
        <v>60</v>
      </c>
      <c r="B19" s="180" t="s">
        <v>609</v>
      </c>
      <c r="C19" s="248" t="s">
        <v>1638</v>
      </c>
      <c r="D19" s="362">
        <v>0.04</v>
      </c>
      <c r="E19" s="184" t="s">
        <v>610</v>
      </c>
      <c r="F19" s="184">
        <v>49.2</v>
      </c>
      <c r="G19" s="184" t="s">
        <v>723</v>
      </c>
      <c r="H19" s="184">
        <v>1</v>
      </c>
      <c r="I19" s="363">
        <f>IF('FR 04009'!$H19&lt;&gt;"",'FR 04009'!$D19*'FR 04009'!$F19*'FR 04009'!$H19,'FR 04009'!$D19*'FR 04009'!$F19)</f>
        <v>1.9680000000000002</v>
      </c>
    </row>
    <row r="20" spans="1:10" x14ac:dyDescent="0.3">
      <c r="A20" s="184">
        <v>70</v>
      </c>
      <c r="B20" s="193" t="s">
        <v>1612</v>
      </c>
      <c r="C20" s="193" t="s">
        <v>1639</v>
      </c>
      <c r="D20" s="284">
        <v>0.35</v>
      </c>
      <c r="E20" s="184" t="s">
        <v>843</v>
      </c>
      <c r="F20" s="184">
        <v>2</v>
      </c>
      <c r="G20" s="184"/>
      <c r="H20" s="184"/>
      <c r="I20" s="362">
        <f>IF('FR 04009'!$H20&lt;&gt;"",'FR 04009'!$D20*'FR 04009'!$F20*'FR 04009'!$H20,'FR 04009'!$D20*'FR 04009'!$F20)</f>
        <v>0.7</v>
      </c>
    </row>
    <row r="21" spans="1:10" x14ac:dyDescent="0.3">
      <c r="A21" s="184">
        <v>80</v>
      </c>
      <c r="B21" s="193" t="s">
        <v>1612</v>
      </c>
      <c r="C21" s="193" t="s">
        <v>1640</v>
      </c>
      <c r="D21" s="284">
        <v>0.35</v>
      </c>
      <c r="E21" s="184" t="s">
        <v>843</v>
      </c>
      <c r="F21" s="184">
        <v>2</v>
      </c>
      <c r="G21" s="184"/>
      <c r="H21" s="184"/>
      <c r="I21" s="363">
        <f>IF('FR 04009'!$H21&lt;&gt;"",'FR 04009'!$D21*'FR 04009'!$F21*'FR 04009'!$H21,'FR 04009'!$D21*'FR 04009'!$F21)</f>
        <v>0.7</v>
      </c>
    </row>
    <row r="22" spans="1:10" x14ac:dyDescent="0.3">
      <c r="A22" s="184">
        <v>90</v>
      </c>
      <c r="B22" s="193" t="s">
        <v>1612</v>
      </c>
      <c r="C22" s="193" t="s">
        <v>1626</v>
      </c>
      <c r="D22" s="362">
        <v>0.35</v>
      </c>
      <c r="E22" s="184" t="s">
        <v>843</v>
      </c>
      <c r="F22" s="184">
        <v>1</v>
      </c>
      <c r="G22" s="184"/>
      <c r="H22" s="184"/>
      <c r="I22" s="362">
        <f>IF('FR 04009'!$H22&lt;&gt;"",'FR 04009'!$D22*'FR 04009'!$F22*'FR 04009'!$H22,'FR 04009'!$D22*'FR 04009'!$F22)</f>
        <v>0.35</v>
      </c>
    </row>
    <row r="23" spans="1:10" x14ac:dyDescent="0.3">
      <c r="A23" s="184">
        <v>100</v>
      </c>
      <c r="B23" s="193" t="s">
        <v>1249</v>
      </c>
      <c r="C23" s="193" t="s">
        <v>1641</v>
      </c>
      <c r="D23" s="362">
        <v>0.35</v>
      </c>
      <c r="E23" s="184" t="s">
        <v>843</v>
      </c>
      <c r="F23" s="184">
        <v>1</v>
      </c>
      <c r="G23" s="184"/>
      <c r="H23" s="184"/>
      <c r="I23" s="363">
        <f>IF('FR 04009'!$H23&lt;&gt;"",'FR 04009'!$D23*'FR 04009'!$F23*'FR 04009'!$H23,'FR 04009'!$D23*'FR 04009'!$F23)</f>
        <v>0.35</v>
      </c>
    </row>
    <row r="24" spans="1:10" x14ac:dyDescent="0.3">
      <c r="A24" s="184">
        <v>110</v>
      </c>
      <c r="B24" s="315" t="s">
        <v>672</v>
      </c>
      <c r="C24" s="184" t="s">
        <v>1628</v>
      </c>
      <c r="D24" s="284">
        <v>0.5</v>
      </c>
      <c r="E24" s="180" t="s">
        <v>556</v>
      </c>
      <c r="F24" s="184">
        <v>1</v>
      </c>
      <c r="G24" s="184"/>
      <c r="H24" s="184">
        <v>1</v>
      </c>
      <c r="I24" s="362">
        <f>D24*F24*H24</f>
        <v>0.5</v>
      </c>
    </row>
    <row r="25" spans="1:10" x14ac:dyDescent="0.3">
      <c r="A25" s="184">
        <v>120</v>
      </c>
      <c r="B25" s="180" t="s">
        <v>659</v>
      </c>
      <c r="C25" s="184" t="s">
        <v>1642</v>
      </c>
      <c r="D25" s="284">
        <v>0.5</v>
      </c>
      <c r="E25" s="180" t="s">
        <v>556</v>
      </c>
      <c r="F25" s="184">
        <v>1</v>
      </c>
      <c r="G25" s="184"/>
      <c r="H25" s="184">
        <v>1</v>
      </c>
      <c r="I25" s="362">
        <f>D25*F25*H25</f>
        <v>0.5</v>
      </c>
    </row>
    <row r="26" spans="1:10" s="278" customFormat="1" x14ac:dyDescent="0.3">
      <c r="H26" s="577" t="s">
        <v>547</v>
      </c>
      <c r="I26" s="579">
        <f>SUM(I14:I25)</f>
        <v>7.96</v>
      </c>
    </row>
    <row r="28" spans="1:10" s="278" customFormat="1" x14ac:dyDescent="0.3">
      <c r="A28" s="576" t="s">
        <v>544</v>
      </c>
      <c r="B28" s="576" t="s">
        <v>566</v>
      </c>
      <c r="C28" s="576" t="s">
        <v>549</v>
      </c>
      <c r="D28" s="576" t="s">
        <v>550</v>
      </c>
      <c r="E28" s="576" t="s">
        <v>567</v>
      </c>
      <c r="F28" s="576" t="s">
        <v>568</v>
      </c>
      <c r="G28" s="576" t="s">
        <v>569</v>
      </c>
      <c r="H28" s="576" t="s">
        <v>570</v>
      </c>
      <c r="I28" s="576" t="s">
        <v>28</v>
      </c>
      <c r="J28" s="576" t="s">
        <v>547</v>
      </c>
    </row>
    <row r="29" spans="1:10" x14ac:dyDescent="0.3">
      <c r="A29" s="184">
        <v>10</v>
      </c>
      <c r="B29" s="225" t="s">
        <v>684</v>
      </c>
      <c r="C29" s="184" t="s">
        <v>1643</v>
      </c>
      <c r="D29" s="362">
        <v>0.05</v>
      </c>
      <c r="E29" s="184">
        <v>6</v>
      </c>
      <c r="F29" s="606" t="s">
        <v>573</v>
      </c>
      <c r="G29" s="184">
        <v>25</v>
      </c>
      <c r="H29" s="193" t="s">
        <v>573</v>
      </c>
      <c r="I29" s="607">
        <v>1</v>
      </c>
      <c r="J29" s="362">
        <v>0.05</v>
      </c>
    </row>
    <row r="30" spans="1:10" x14ac:dyDescent="0.3">
      <c r="A30" s="184">
        <v>20</v>
      </c>
      <c r="B30" s="608" t="s">
        <v>618</v>
      </c>
      <c r="C30" s="184" t="s">
        <v>1644</v>
      </c>
      <c r="D30" s="362">
        <v>0.03</v>
      </c>
      <c r="E30" s="184">
        <v>6</v>
      </c>
      <c r="F30" s="606" t="s">
        <v>573</v>
      </c>
      <c r="G30" s="184"/>
      <c r="H30" s="193"/>
      <c r="I30" s="607">
        <v>1</v>
      </c>
      <c r="J30" s="362">
        <v>0.06</v>
      </c>
    </row>
    <row r="31" spans="1:10" s="278" customFormat="1" ht="15.75" customHeight="1" x14ac:dyDescent="0.3">
      <c r="I31" s="577" t="s">
        <v>547</v>
      </c>
      <c r="J31" s="579">
        <f>SUM(J29:J30)</f>
        <v>0.11</v>
      </c>
    </row>
  </sheetData>
  <pageMargins left="0.5" right="0.5" top="0.75" bottom="0.75" header="0.3" footer="0.3"/>
  <pageSetup scale="52" orientation="landscape" r:id="rId1"/>
  <drawing r:id="rId2"/>
</worksheet>
</file>

<file path=xl/worksheets/sheet1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.109375" style="161" bestFit="1" customWidth="1"/>
    <col min="2" max="2" width="40.33203125" style="161" customWidth="1"/>
    <col min="3" max="3" width="44.109375" style="161" customWidth="1"/>
    <col min="4" max="4" width="13.6640625" style="161" bestFit="1" customWidth="1"/>
    <col min="5" max="5" width="14.33203125" style="161" bestFit="1" customWidth="1"/>
    <col min="6" max="6" width="12.109375" style="161" bestFit="1" customWidth="1"/>
    <col min="7" max="7" width="31.109375" style="161" customWidth="1"/>
    <col min="8" max="8" width="14" style="161" bestFit="1" customWidth="1"/>
    <col min="9" max="9" width="19.88671875" style="161" customWidth="1"/>
    <col min="10" max="10" width="14" style="161" bestFit="1" customWidth="1"/>
    <col min="11" max="11" width="10.5546875" style="161" bestFit="1" customWidth="1"/>
    <col min="12" max="12" width="11.44140625" style="161" bestFit="1" customWidth="1"/>
    <col min="13" max="13" width="14" style="161" bestFit="1" customWidth="1"/>
    <col min="14" max="14" width="15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N11+I16</f>
        <v>2.8136967727992372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1690</v>
      </c>
      <c r="D4" s="570" t="s">
        <v>541</v>
      </c>
      <c r="J4" s="570" t="s">
        <v>538</v>
      </c>
      <c r="M4" s="570" t="s">
        <v>539</v>
      </c>
      <c r="N4" s="336">
        <f>N1*N2</f>
        <v>2.8136967727992372</v>
      </c>
    </row>
    <row r="5" spans="1:14" x14ac:dyDescent="0.3">
      <c r="A5" s="570" t="s">
        <v>537</v>
      </c>
      <c r="B5" s="604" t="s">
        <v>230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1691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x14ac:dyDescent="0.3">
      <c r="A10" s="168">
        <v>10</v>
      </c>
      <c r="B10" s="168" t="s">
        <v>1692</v>
      </c>
      <c r="C10" s="168" t="s">
        <v>1679</v>
      </c>
      <c r="D10" s="302">
        <v>2.25</v>
      </c>
      <c r="E10" s="168">
        <v>10</v>
      </c>
      <c r="F10" s="168" t="s">
        <v>573</v>
      </c>
      <c r="G10" s="168"/>
      <c r="H10" s="219"/>
      <c r="I10" s="269" t="s">
        <v>1693</v>
      </c>
      <c r="J10" s="227">
        <f>PI()*0.005^2</f>
        <v>7.8539816339744827E-5</v>
      </c>
      <c r="K10" s="610">
        <v>4.4999999999999998E-2</v>
      </c>
      <c r="L10" s="219">
        <v>8010</v>
      </c>
      <c r="M10" s="222">
        <v>1</v>
      </c>
      <c r="N10" s="322">
        <f>IF(J10="",D10*M10,D10*J10*K10*L10*M10)</f>
        <v>6.36967727992373E-2</v>
      </c>
    </row>
    <row r="11" spans="1:14" s="178" customFormat="1" x14ac:dyDescent="0.3">
      <c r="M11" s="574" t="s">
        <v>547</v>
      </c>
      <c r="N11" s="575">
        <f>SUM(N10:N10)</f>
        <v>6.36967727992373E-2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93" t="s">
        <v>1646</v>
      </c>
      <c r="D14" s="323">
        <v>1.3</v>
      </c>
      <c r="E14" s="168" t="s">
        <v>556</v>
      </c>
      <c r="F14" s="168">
        <v>2</v>
      </c>
      <c r="G14" s="168"/>
      <c r="H14" s="168"/>
      <c r="I14" s="323">
        <f>IF('FR 04010'!$H14&lt;&gt;"",'FR 04010'!$D14*'FR 04010'!$F14*'FR 04010'!$H14,'FR 04010'!$D14*'FR 04010'!$F14)</f>
        <v>2.6</v>
      </c>
    </row>
    <row r="15" spans="1:14" ht="16.5" customHeight="1" x14ac:dyDescent="0.3">
      <c r="A15" s="168">
        <v>20</v>
      </c>
      <c r="B15" s="180" t="s">
        <v>609</v>
      </c>
      <c r="C15" s="184" t="s">
        <v>1694</v>
      </c>
      <c r="D15" s="323">
        <v>0.04</v>
      </c>
      <c r="E15" s="168" t="s">
        <v>610</v>
      </c>
      <c r="F15" s="168">
        <v>1</v>
      </c>
      <c r="G15" s="180" t="s">
        <v>829</v>
      </c>
      <c r="H15" s="179">
        <v>3.75</v>
      </c>
      <c r="I15" s="323">
        <f>IF('FR 04010'!$H15&lt;&gt;"",'FR 04010'!$D15*'FR 04010'!$F15*'FR 04010'!$H15,'FR 04010'!$D15*'FR 04010'!$F15)</f>
        <v>0.15</v>
      </c>
    </row>
    <row r="16" spans="1:14" s="178" customFormat="1" x14ac:dyDescent="0.3">
      <c r="H16" s="574" t="s">
        <v>547</v>
      </c>
      <c r="I16" s="575">
        <f>SUM(I14:I15)</f>
        <v>2.75</v>
      </c>
    </row>
  </sheetData>
  <pageMargins left="0.5" right="0.5" top="0.75" bottom="0.75" header="0.3" footer="0.3"/>
  <pageSetup scale="47" orientation="landscape" r:id="rId1"/>
</worksheet>
</file>

<file path=xl/worksheets/sheet1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6.109375" style="161" customWidth="1"/>
    <col min="3" max="3" width="44.109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31.109375" style="161" customWidth="1"/>
    <col min="8" max="8" width="13.88671875" style="161" bestFit="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2.8610709000000001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1672</v>
      </c>
      <c r="D4" s="570" t="s">
        <v>541</v>
      </c>
      <c r="J4" s="570" t="s">
        <v>538</v>
      </c>
      <c r="M4" s="570" t="s">
        <v>539</v>
      </c>
      <c r="N4" s="336">
        <f>N1*N2</f>
        <v>2.8610709000000001</v>
      </c>
    </row>
    <row r="5" spans="1:14" x14ac:dyDescent="0.3">
      <c r="A5" s="570" t="s">
        <v>537</v>
      </c>
      <c r="B5" s="604" t="s">
        <v>232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1669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1670</v>
      </c>
      <c r="D10" s="302">
        <v>4.2</v>
      </c>
      <c r="E10" s="168">
        <v>105</v>
      </c>
      <c r="F10" s="168" t="s">
        <v>573</v>
      </c>
      <c r="G10" s="168">
        <v>95</v>
      </c>
      <c r="H10" s="219" t="s">
        <v>573</v>
      </c>
      <c r="I10" s="269" t="s">
        <v>1671</v>
      </c>
      <c r="J10" s="227">
        <f>0.105*0.095</f>
        <v>9.9749999999999995E-3</v>
      </c>
      <c r="K10" s="610">
        <v>2E-3</v>
      </c>
      <c r="L10" s="219">
        <v>2710</v>
      </c>
      <c r="M10" s="222">
        <v>1</v>
      </c>
      <c r="N10" s="322">
        <f>IF(J10="",D10*M10,D10*J10*K10*L10*M10)</f>
        <v>0.22707090000000002</v>
      </c>
    </row>
    <row r="11" spans="1:14" s="178" customFormat="1" x14ac:dyDescent="0.3">
      <c r="M11" s="574" t="s">
        <v>547</v>
      </c>
      <c r="N11" s="575">
        <f>SUM(N10:N10)</f>
        <v>0.22707090000000002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68" t="s">
        <v>699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D14*F14</f>
        <v>1.3</v>
      </c>
    </row>
    <row r="15" spans="1:14" x14ac:dyDescent="0.3">
      <c r="A15" s="168">
        <v>20</v>
      </c>
      <c r="B15" s="285" t="s">
        <v>700</v>
      </c>
      <c r="C15" s="171" t="s">
        <v>701</v>
      </c>
      <c r="D15" s="323">
        <v>0.01</v>
      </c>
      <c r="E15" s="168" t="s">
        <v>593</v>
      </c>
      <c r="F15" s="168">
        <v>58.4</v>
      </c>
      <c r="G15" s="180" t="s">
        <v>710</v>
      </c>
      <c r="H15" s="179">
        <v>1</v>
      </c>
      <c r="I15" s="323">
        <f>IF('FR 04011'!$H15&lt;&gt;"",'FR 04011'!$D15*'FR 04011'!$F15*'FR 04011'!$H15,'FR 04011'!$D15*'FR 04011'!$F15)</f>
        <v>0.58399999999999996</v>
      </c>
    </row>
    <row r="16" spans="1:14" x14ac:dyDescent="0.3">
      <c r="A16" s="168">
        <v>30</v>
      </c>
      <c r="B16" s="180" t="s">
        <v>702</v>
      </c>
      <c r="C16" s="168" t="s">
        <v>703</v>
      </c>
      <c r="D16" s="323">
        <v>0.25</v>
      </c>
      <c r="E16" s="168" t="s">
        <v>704</v>
      </c>
      <c r="F16" s="168">
        <v>3</v>
      </c>
      <c r="G16" s="168"/>
      <c r="H16" s="168"/>
      <c r="I16" s="323">
        <f>IF('FR 04011'!$H16&lt;&gt;"",'FR 04011'!$D16*'FR 04011'!$F16*'FR 04011'!$H16,'FR 04011'!$D16*'FR 04011'!$F16)</f>
        <v>0.75</v>
      </c>
    </row>
    <row r="17" spans="8:9" s="178" customFormat="1" x14ac:dyDescent="0.3">
      <c r="H17" s="574" t="s">
        <v>547</v>
      </c>
      <c r="I17" s="575">
        <f>SUM(I14:I16)</f>
        <v>2.6339999999999999</v>
      </c>
    </row>
  </sheetData>
  <pageMargins left="0.5" right="0.5" top="0.75" bottom="0.75" header="0.3" footer="0.3"/>
  <pageSetup scale="48" orientation="landscape" r:id="rId1"/>
</worksheet>
</file>

<file path=xl/worksheets/sheet1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1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5.6640625" style="161" customWidth="1"/>
    <col min="3" max="3" width="42.109375" style="161" customWidth="1"/>
    <col min="4" max="4" width="13.5546875" style="161" bestFit="1" customWidth="1"/>
    <col min="5" max="5" width="14.109375" style="161" bestFit="1" customWidth="1"/>
    <col min="6" max="6" width="12" style="161" customWidth="1"/>
    <col min="7" max="7" width="21.44140625" style="161" customWidth="1"/>
    <col min="8" max="8" width="13.88671875" style="161" bestFit="1" customWidth="1"/>
    <col min="9" max="9" width="23.5546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N11+I21</f>
        <v>10.624564912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1511</v>
      </c>
      <c r="D4" s="570" t="s">
        <v>541</v>
      </c>
      <c r="J4" s="570" t="s">
        <v>538</v>
      </c>
      <c r="M4" s="570" t="s">
        <v>539</v>
      </c>
      <c r="N4" s="336">
        <f>N1*N2</f>
        <v>10.624564912</v>
      </c>
    </row>
    <row r="5" spans="1:14" x14ac:dyDescent="0.3">
      <c r="A5" s="570" t="s">
        <v>537</v>
      </c>
      <c r="B5" s="604" t="s">
        <v>234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1657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607</v>
      </c>
      <c r="D10" s="302">
        <v>4.2</v>
      </c>
      <c r="E10" s="168">
        <v>37</v>
      </c>
      <c r="F10" s="168" t="s">
        <v>573</v>
      </c>
      <c r="G10" s="168">
        <v>34</v>
      </c>
      <c r="H10" s="219" t="s">
        <v>573</v>
      </c>
      <c r="I10" s="269" t="s">
        <v>1658</v>
      </c>
      <c r="J10" s="227">
        <f>0.034*0.037</f>
        <v>1.258E-3</v>
      </c>
      <c r="K10" s="610">
        <v>5.1999999999999998E-2</v>
      </c>
      <c r="L10" s="219">
        <v>2710</v>
      </c>
      <c r="M10" s="222">
        <v>1</v>
      </c>
      <c r="N10" s="322">
        <f>IF(J10="",D10*M10,D10*J10*K10*L10*M10)</f>
        <v>0.74456491199999997</v>
      </c>
    </row>
    <row r="11" spans="1:14" s="178" customFormat="1" x14ac:dyDescent="0.3">
      <c r="M11" s="574" t="s">
        <v>547</v>
      </c>
      <c r="N11" s="575">
        <f>SUM(N10:N10)</f>
        <v>0.74456491199999997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93" t="s">
        <v>1646</v>
      </c>
      <c r="D14" s="323">
        <v>1.3</v>
      </c>
      <c r="E14" s="168" t="s">
        <v>556</v>
      </c>
      <c r="F14" s="168">
        <v>1</v>
      </c>
      <c r="G14" s="168"/>
      <c r="H14" s="168"/>
      <c r="I14" s="323">
        <f>IF('FR 04012'!$H14&lt;&gt;"",'FR 04012'!$D14*'FR 04012'!$F14*'FR 04012'!$H14,'FR 04012'!$D14*'FR 04012'!$F14)</f>
        <v>1.3</v>
      </c>
    </row>
    <row r="15" spans="1:14" ht="16.5" customHeight="1" x14ac:dyDescent="0.3">
      <c r="A15" s="168">
        <v>20</v>
      </c>
      <c r="B15" s="180" t="s">
        <v>609</v>
      </c>
      <c r="C15" s="184" t="s">
        <v>1659</v>
      </c>
      <c r="D15" s="323">
        <v>0.04</v>
      </c>
      <c r="E15" s="168" t="s">
        <v>610</v>
      </c>
      <c r="F15" s="168">
        <v>29</v>
      </c>
      <c r="G15" s="168" t="s">
        <v>723</v>
      </c>
      <c r="H15" s="168">
        <v>1</v>
      </c>
      <c r="I15" s="322">
        <f>IF('FR 04012'!$H15&lt;&gt;"",'FR 04012'!$D15*'FR 04012'!$F15*'FR 04012'!$H15,'FR 04012'!$D15*'FR 04012'!$F15)</f>
        <v>1.1599999999999999</v>
      </c>
    </row>
    <row r="16" spans="1:14" x14ac:dyDescent="0.3">
      <c r="A16" s="168">
        <v>30</v>
      </c>
      <c r="B16" s="180" t="s">
        <v>785</v>
      </c>
      <c r="C16" s="193" t="s">
        <v>1660</v>
      </c>
      <c r="D16" s="323">
        <v>0.65</v>
      </c>
      <c r="E16" s="168" t="s">
        <v>556</v>
      </c>
      <c r="F16" s="168">
        <v>1</v>
      </c>
      <c r="G16" s="168"/>
      <c r="H16" s="168"/>
      <c r="I16" s="323">
        <f>IF('FR 04012'!$H16&lt;&gt;"",'FR 04012'!$D16*'FR 04012'!$F16*'FR 04012'!$H16,'FR 04012'!$D16*'FR 04012'!$F16)</f>
        <v>0.65</v>
      </c>
    </row>
    <row r="17" spans="1:9" x14ac:dyDescent="0.3">
      <c r="A17" s="168">
        <v>40</v>
      </c>
      <c r="B17" s="180" t="s">
        <v>609</v>
      </c>
      <c r="C17" s="184" t="s">
        <v>1661</v>
      </c>
      <c r="D17" s="323">
        <v>0.04</v>
      </c>
      <c r="E17" s="168" t="s">
        <v>610</v>
      </c>
      <c r="F17" s="168">
        <v>3</v>
      </c>
      <c r="G17" s="168" t="s">
        <v>723</v>
      </c>
      <c r="H17" s="168">
        <v>1</v>
      </c>
      <c r="I17" s="322">
        <f>IF('FR 04012'!$H17&lt;&gt;"",'FR 04012'!$D17*'FR 04012'!$F17*'FR 04012'!$H17,'FR 04012'!$D17*'FR 04012'!$F17)</f>
        <v>0.12</v>
      </c>
    </row>
    <row r="18" spans="1:9" x14ac:dyDescent="0.3">
      <c r="A18" s="168">
        <v>50</v>
      </c>
      <c r="B18" s="171" t="s">
        <v>1623</v>
      </c>
      <c r="C18" s="193" t="s">
        <v>1662</v>
      </c>
      <c r="D18" s="243">
        <v>0.35</v>
      </c>
      <c r="E18" s="168" t="s">
        <v>843</v>
      </c>
      <c r="F18" s="168">
        <v>1</v>
      </c>
      <c r="G18" s="168"/>
      <c r="H18" s="168"/>
      <c r="I18" s="323">
        <f>IF('FR 04012'!$H18&lt;&gt;"",'FR 04012'!$D18*'FR 04012'!$F18*'FR 04012'!$H18,'FR 04012'!$D18*'FR 04012'!$F18)</f>
        <v>0.35</v>
      </c>
    </row>
    <row r="19" spans="1:9" x14ac:dyDescent="0.3">
      <c r="A19" s="168">
        <v>60</v>
      </c>
      <c r="B19" s="171" t="s">
        <v>1612</v>
      </c>
      <c r="C19" s="193" t="s">
        <v>1663</v>
      </c>
      <c r="D19" s="243">
        <v>0.35</v>
      </c>
      <c r="E19" s="168" t="s">
        <v>843</v>
      </c>
      <c r="F19" s="168">
        <v>9</v>
      </c>
      <c r="G19" s="168"/>
      <c r="H19" s="168"/>
      <c r="I19" s="323">
        <f>IF('FR 04012'!$H19&lt;&gt;"",'FR 04012'!$D19*'FR 04012'!$F19*'FR 04012'!$H19,'FR 04012'!$D19*'FR 04012'!$F19)</f>
        <v>3.15</v>
      </c>
    </row>
    <row r="20" spans="1:9" x14ac:dyDescent="0.3">
      <c r="A20" s="168">
        <v>70</v>
      </c>
      <c r="B20" s="171" t="s">
        <v>1249</v>
      </c>
      <c r="C20" s="193" t="s">
        <v>1663</v>
      </c>
      <c r="D20" s="323">
        <v>0.35</v>
      </c>
      <c r="E20" s="168" t="s">
        <v>843</v>
      </c>
      <c r="F20" s="168">
        <v>9</v>
      </c>
      <c r="G20" s="168"/>
      <c r="H20" s="168"/>
      <c r="I20" s="323">
        <f>IF('FR 04012'!$H20&lt;&gt;"",'FR 04012'!$D20*'FR 04012'!$F20*'FR 04012'!$H20,'FR 04012'!$D20*'FR 04012'!$F20)</f>
        <v>3.15</v>
      </c>
    </row>
    <row r="21" spans="1:9" s="178" customFormat="1" x14ac:dyDescent="0.3">
      <c r="H21" s="574" t="s">
        <v>547</v>
      </c>
      <c r="I21" s="575">
        <f>SUM(I14:I20)</f>
        <v>9.8800000000000008</v>
      </c>
    </row>
  </sheetData>
  <pageMargins left="0.5" right="0.5" top="0.75" bottom="0.75" header="0.3" footer="0.3"/>
  <pageSetup scale="49" orientation="landscape" r:id="rId1"/>
  <drawing r:id="rId2"/>
</worksheet>
</file>

<file path=xl/worksheets/sheet1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2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5.6640625" style="161" customWidth="1"/>
    <col min="3" max="3" width="40.6640625" style="161" customWidth="1"/>
    <col min="4" max="4" width="13.5546875" style="161" bestFit="1" customWidth="1"/>
    <col min="5" max="5" width="11.109375" style="161" customWidth="1"/>
    <col min="6" max="6" width="9.5546875" style="161" customWidth="1"/>
    <col min="7" max="7" width="20.33203125" style="161" customWidth="1"/>
    <col min="8" max="8" width="10.44140625" style="161" customWidth="1"/>
    <col min="9" max="9" width="23.5546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N11+I22</f>
        <v>3.8645500000000004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1512</v>
      </c>
      <c r="D4" s="570" t="s">
        <v>541</v>
      </c>
      <c r="J4" s="570" t="s">
        <v>538</v>
      </c>
      <c r="M4" s="570" t="s">
        <v>539</v>
      </c>
      <c r="N4" s="336">
        <f>N1*N2</f>
        <v>7.7291000000000007</v>
      </c>
    </row>
    <row r="5" spans="1:14" x14ac:dyDescent="0.3">
      <c r="A5" s="570" t="s">
        <v>537</v>
      </c>
      <c r="B5" s="604" t="s">
        <v>235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1699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607</v>
      </c>
      <c r="D10" s="302">
        <v>4.2</v>
      </c>
      <c r="E10" s="168">
        <v>40</v>
      </c>
      <c r="F10" s="168" t="s">
        <v>573</v>
      </c>
      <c r="G10" s="168">
        <v>25</v>
      </c>
      <c r="H10" s="219" t="s">
        <v>573</v>
      </c>
      <c r="I10" s="269" t="s">
        <v>861</v>
      </c>
      <c r="J10" s="227">
        <f>0.04*0.025</f>
        <v>1E-3</v>
      </c>
      <c r="K10" s="610">
        <v>2.5000000000000001E-2</v>
      </c>
      <c r="L10" s="219">
        <v>2710</v>
      </c>
      <c r="M10" s="222">
        <v>1</v>
      </c>
      <c r="N10" s="322">
        <f>IF(J10="",D10*M10,D10*J10*K10*L10*M10)</f>
        <v>0.28455000000000003</v>
      </c>
    </row>
    <row r="11" spans="1:14" s="178" customFormat="1" x14ac:dyDescent="0.3">
      <c r="M11" s="574" t="s">
        <v>547</v>
      </c>
      <c r="N11" s="575">
        <f>SUM(N10:N10)</f>
        <v>0.28455000000000003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93" t="s">
        <v>1646</v>
      </c>
      <c r="D14" s="323">
        <v>1.3</v>
      </c>
      <c r="E14" s="168" t="s">
        <v>556</v>
      </c>
      <c r="F14" s="168">
        <v>1</v>
      </c>
      <c r="G14" s="168"/>
      <c r="H14" s="168"/>
      <c r="I14" s="323">
        <f>IF('FR 04013'!$H14&lt;&gt;"",'FR 04013'!$D14*'FR 04013'!$F14*'FR 04013'!$H14,'FR 04013'!$D14*'FR 04013'!$F14)</f>
        <v>1.3</v>
      </c>
    </row>
    <row r="15" spans="1:14" ht="16.5" customHeight="1" x14ac:dyDescent="0.3">
      <c r="A15" s="168">
        <v>20</v>
      </c>
      <c r="B15" s="180" t="s">
        <v>609</v>
      </c>
      <c r="C15" s="184" t="s">
        <v>1659</v>
      </c>
      <c r="D15" s="323">
        <v>0.04</v>
      </c>
      <c r="E15" s="168" t="s">
        <v>610</v>
      </c>
      <c r="F15" s="168">
        <v>7.5</v>
      </c>
      <c r="G15" s="168" t="s">
        <v>723</v>
      </c>
      <c r="H15" s="168">
        <v>1</v>
      </c>
      <c r="I15" s="322">
        <f>IF('FR 04013'!$H15&lt;&gt;"",'FR 04013'!$D15*'FR 04013'!$F15*'FR 04013'!$H15,'FR 04013'!$D15*'FR 04013'!$F15)</f>
        <v>0.3</v>
      </c>
    </row>
    <row r="16" spans="1:14" x14ac:dyDescent="0.3">
      <c r="A16" s="168">
        <v>30</v>
      </c>
      <c r="B16" s="180" t="s">
        <v>785</v>
      </c>
      <c r="C16" s="193" t="s">
        <v>1700</v>
      </c>
      <c r="D16" s="323">
        <v>0.65</v>
      </c>
      <c r="E16" s="168" t="s">
        <v>556</v>
      </c>
      <c r="F16" s="168">
        <v>1</v>
      </c>
      <c r="G16" s="168"/>
      <c r="H16" s="168"/>
      <c r="I16" s="323">
        <f>IF('FR 04013'!$H16&lt;&gt;"",'FR 04013'!$D16*'FR 04013'!$F16*'FR 04013'!$H16,'FR 04013'!$D16*'FR 04013'!$F16)</f>
        <v>0.65</v>
      </c>
    </row>
    <row r="17" spans="1:9" ht="16.5" customHeight="1" x14ac:dyDescent="0.3">
      <c r="A17" s="168">
        <v>40</v>
      </c>
      <c r="B17" s="180" t="s">
        <v>609</v>
      </c>
      <c r="C17" s="184" t="s">
        <v>1701</v>
      </c>
      <c r="D17" s="323">
        <v>0.04</v>
      </c>
      <c r="E17" s="168" t="s">
        <v>610</v>
      </c>
      <c r="F17" s="168">
        <v>6</v>
      </c>
      <c r="G17" s="168" t="s">
        <v>723</v>
      </c>
      <c r="H17" s="168">
        <v>1</v>
      </c>
      <c r="I17" s="322">
        <f>IF('FR 04013'!$H17&lt;&gt;"",'FR 04013'!$D17*'FR 04013'!$F17*'FR 04013'!$H17,'FR 04013'!$D17*'FR 04013'!$F17)</f>
        <v>0.24</v>
      </c>
    </row>
    <row r="18" spans="1:9" x14ac:dyDescent="0.3">
      <c r="A18" s="168">
        <v>50</v>
      </c>
      <c r="B18" s="180" t="s">
        <v>609</v>
      </c>
      <c r="C18" s="184" t="s">
        <v>1702</v>
      </c>
      <c r="D18" s="323">
        <v>0.04</v>
      </c>
      <c r="E18" s="168" t="s">
        <v>610</v>
      </c>
      <c r="F18" s="168">
        <v>1</v>
      </c>
      <c r="G18" s="168" t="s">
        <v>723</v>
      </c>
      <c r="H18" s="168">
        <v>1</v>
      </c>
      <c r="I18" s="322">
        <f>IF('FR 04013'!$H18&lt;&gt;"",'FR 04013'!$D18*'FR 04013'!$F18*'FR 04013'!$H18,'FR 04013'!$D18*'FR 04013'!$F18)</f>
        <v>0.04</v>
      </c>
    </row>
    <row r="19" spans="1:9" x14ac:dyDescent="0.3">
      <c r="A19" s="168">
        <v>60</v>
      </c>
      <c r="B19" s="171" t="s">
        <v>1623</v>
      </c>
      <c r="C19" s="193" t="s">
        <v>1662</v>
      </c>
      <c r="D19" s="243">
        <v>0.35</v>
      </c>
      <c r="E19" s="168" t="s">
        <v>843</v>
      </c>
      <c r="F19" s="168">
        <v>1</v>
      </c>
      <c r="G19" s="168"/>
      <c r="H19" s="168"/>
      <c r="I19" s="323">
        <f>IF('FR 04013'!$H19&lt;&gt;"",'FR 04013'!$D19*'FR 04013'!$F19*'FR 04013'!$H19,'FR 04013'!$D19*'FR 04013'!$F19)</f>
        <v>0.35</v>
      </c>
    </row>
    <row r="20" spans="1:9" x14ac:dyDescent="0.3">
      <c r="A20" s="168">
        <v>70</v>
      </c>
      <c r="B20" s="171" t="s">
        <v>1612</v>
      </c>
      <c r="C20" s="193" t="s">
        <v>1703</v>
      </c>
      <c r="D20" s="243">
        <v>0.35</v>
      </c>
      <c r="E20" s="168" t="s">
        <v>843</v>
      </c>
      <c r="F20" s="168">
        <v>1</v>
      </c>
      <c r="G20" s="168"/>
      <c r="H20" s="168"/>
      <c r="I20" s="323">
        <f>IF('FR 04013'!$H20&lt;&gt;"",'FR 04013'!$D20*'FR 04013'!$F20*'FR 04013'!$H20,'FR 04013'!$D20*'FR 04013'!$F20)</f>
        <v>0.35</v>
      </c>
    </row>
    <row r="21" spans="1:9" x14ac:dyDescent="0.3">
      <c r="A21" s="168">
        <v>80</v>
      </c>
      <c r="B21" s="171" t="s">
        <v>1249</v>
      </c>
      <c r="C21" s="193" t="s">
        <v>1703</v>
      </c>
      <c r="D21" s="323">
        <v>0.35</v>
      </c>
      <c r="E21" s="168" t="s">
        <v>843</v>
      </c>
      <c r="F21" s="168">
        <v>1</v>
      </c>
      <c r="G21" s="168"/>
      <c r="H21" s="168"/>
      <c r="I21" s="323">
        <f>IF('FR 04013'!$H21&lt;&gt;"",'FR 04013'!$D21*'FR 04013'!$F21*'FR 04013'!$H21,'FR 04013'!$D21*'FR 04013'!$F21)</f>
        <v>0.35</v>
      </c>
    </row>
    <row r="22" spans="1:9" s="178" customFormat="1" x14ac:dyDescent="0.3">
      <c r="H22" s="574" t="s">
        <v>547</v>
      </c>
      <c r="I22" s="575">
        <f>SUM(I14:I21)</f>
        <v>3.5800000000000005</v>
      </c>
    </row>
  </sheetData>
  <pageMargins left="0.5" right="0.5" top="0.75" bottom="0.75" header="0.3" footer="0.3"/>
  <pageSetup scale="52" orientation="landscape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78"/>
  <sheetViews>
    <sheetView showGridLines="0" workbookViewId="0"/>
  </sheetViews>
  <sheetFormatPr defaultColWidth="11.44140625" defaultRowHeight="14.4" x14ac:dyDescent="0.3"/>
  <cols>
    <col min="2" max="2" width="29" customWidth="1"/>
    <col min="6" max="6" width="11.88671875" bestFit="1" customWidth="1"/>
    <col min="9" max="9" width="18.109375" customWidth="1"/>
    <col min="13" max="13" width="14.8867187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N11</f>
        <v>0.96000000000000019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4</v>
      </c>
    </row>
    <row r="3" spans="1:14" x14ac:dyDescent="0.3">
      <c r="A3" s="197" t="s">
        <v>534</v>
      </c>
      <c r="B3" t="s">
        <v>619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6" t="s">
        <v>44</v>
      </c>
      <c r="D4" s="197" t="s">
        <v>541</v>
      </c>
      <c r="J4" s="197" t="s">
        <v>538</v>
      </c>
      <c r="M4" s="197" t="s">
        <v>539</v>
      </c>
      <c r="N4" s="164">
        <f>N2*N1</f>
        <v>3.8400000000000007</v>
      </c>
    </row>
    <row r="5" spans="1:14" x14ac:dyDescent="0.3">
      <c r="A5" s="197" t="s">
        <v>537</v>
      </c>
      <c r="B5" s="199" t="s">
        <v>51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200" t="s">
        <v>542</v>
      </c>
      <c r="B7" s="161" t="s">
        <v>601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x14ac:dyDescent="0.3">
      <c r="A10" s="168">
        <v>10</v>
      </c>
      <c r="B10" s="225" t="s">
        <v>602</v>
      </c>
      <c r="C10" s="168" t="s">
        <v>44</v>
      </c>
      <c r="D10" s="226">
        <v>2.0000000000000001E-4</v>
      </c>
      <c r="E10" s="179">
        <v>40</v>
      </c>
      <c r="F10" s="168" t="s">
        <v>573</v>
      </c>
      <c r="G10" s="168">
        <v>40</v>
      </c>
      <c r="H10" s="219" t="s">
        <v>573</v>
      </c>
      <c r="I10" s="220" t="s">
        <v>620</v>
      </c>
      <c r="J10" s="227">
        <f>0.04*0.04</f>
        <v>1.6000000000000001E-3</v>
      </c>
      <c r="K10" s="228">
        <v>3.0000000000000001E-3</v>
      </c>
      <c r="L10" s="219"/>
      <c r="M10" s="222">
        <v>1</v>
      </c>
      <c r="N10" s="223">
        <f>J10*K10*D10*10^9</f>
        <v>0.96000000000000019</v>
      </c>
    </row>
    <row r="11" spans="1:14" x14ac:dyDescent="0.3">
      <c r="A11" s="178"/>
      <c r="B11" s="178"/>
      <c r="C11" s="178"/>
      <c r="D11" s="229"/>
      <c r="E11" s="178"/>
      <c r="F11" s="178"/>
      <c r="G11" s="178"/>
      <c r="H11" s="178"/>
      <c r="I11" s="178"/>
      <c r="J11" s="178"/>
      <c r="K11" s="178"/>
      <c r="L11" s="178"/>
      <c r="M11" s="216" t="s">
        <v>547</v>
      </c>
      <c r="N11" s="224">
        <f>N10</f>
        <v>0.96000000000000019</v>
      </c>
    </row>
    <row r="13" spans="1:14" x14ac:dyDescent="0.3">
      <c r="J13" s="230"/>
    </row>
    <row r="15" spans="1:14" x14ac:dyDescent="0.3">
      <c r="C15" s="231"/>
      <c r="D15" s="229"/>
      <c r="E15" s="229"/>
      <c r="F15" s="175"/>
      <c r="G15" s="229"/>
    </row>
    <row r="41" spans="1:8" x14ac:dyDescent="0.3">
      <c r="A41" s="161"/>
      <c r="B41" s="161"/>
      <c r="C41" s="161"/>
      <c r="D41" s="161"/>
      <c r="E41" s="161"/>
      <c r="F41" s="161"/>
      <c r="G41" s="161"/>
      <c r="H41" s="161"/>
    </row>
    <row r="42" spans="1:8" x14ac:dyDescent="0.3">
      <c r="A42" s="161"/>
      <c r="B42" s="161"/>
      <c r="C42" s="161"/>
      <c r="D42" s="161"/>
      <c r="E42" s="161"/>
      <c r="F42" s="161"/>
      <c r="G42" s="161"/>
      <c r="H42" s="161"/>
    </row>
    <row r="43" spans="1:8" x14ac:dyDescent="0.3">
      <c r="A43" s="161"/>
      <c r="B43" s="161"/>
      <c r="C43" s="161"/>
      <c r="D43" s="161"/>
      <c r="E43" s="161"/>
      <c r="F43" s="161"/>
      <c r="G43" s="161"/>
      <c r="H43" s="161"/>
    </row>
    <row r="44" spans="1:8" x14ac:dyDescent="0.3">
      <c r="A44" s="161"/>
      <c r="B44" s="161"/>
      <c r="C44" s="161"/>
      <c r="D44" s="161"/>
      <c r="E44" s="161"/>
      <c r="F44" s="161"/>
      <c r="G44" s="161"/>
      <c r="H44" s="161"/>
    </row>
    <row r="45" spans="1:8" x14ac:dyDescent="0.3">
      <c r="A45" s="161"/>
      <c r="B45" s="161"/>
      <c r="C45" s="161"/>
      <c r="D45" s="161"/>
      <c r="E45" s="161"/>
      <c r="F45" s="161"/>
      <c r="G45" s="161"/>
      <c r="H45" s="161"/>
    </row>
    <row r="46" spans="1:8" x14ac:dyDescent="0.3">
      <c r="A46" s="161"/>
      <c r="B46" s="161"/>
      <c r="C46" s="161"/>
      <c r="D46" s="161"/>
      <c r="E46" s="161"/>
      <c r="F46" s="161"/>
      <c r="G46" s="161"/>
      <c r="H46" s="161"/>
    </row>
    <row r="47" spans="1:8" x14ac:dyDescent="0.3">
      <c r="A47" s="161"/>
      <c r="B47" s="161"/>
      <c r="C47" s="161"/>
      <c r="D47" s="161"/>
      <c r="E47" s="161"/>
      <c r="F47" s="161"/>
      <c r="G47" s="161"/>
      <c r="H47" s="161"/>
    </row>
    <row r="48" spans="1:8" x14ac:dyDescent="0.3">
      <c r="A48" s="161"/>
      <c r="B48" s="161"/>
      <c r="C48" s="161"/>
      <c r="D48" s="161"/>
      <c r="E48" s="161"/>
      <c r="F48" s="161"/>
      <c r="G48" s="161"/>
      <c r="H48" s="161"/>
    </row>
    <row r="49" spans="1:8" x14ac:dyDescent="0.3">
      <c r="A49" s="161"/>
      <c r="B49" s="161"/>
      <c r="C49" s="161"/>
      <c r="D49" s="161"/>
      <c r="E49" s="161"/>
      <c r="F49" s="161"/>
      <c r="G49" s="161"/>
      <c r="H49" s="161"/>
    </row>
    <row r="50" spans="1:8" x14ac:dyDescent="0.3">
      <c r="A50" s="161"/>
      <c r="B50" s="161"/>
      <c r="C50" s="161"/>
      <c r="D50" s="161"/>
      <c r="E50" s="161"/>
      <c r="F50" s="161"/>
      <c r="G50" s="161"/>
      <c r="H50" s="161"/>
    </row>
    <row r="51" spans="1:8" x14ac:dyDescent="0.3">
      <c r="A51" s="161"/>
      <c r="B51" s="161"/>
      <c r="C51" s="161"/>
      <c r="D51" s="161"/>
      <c r="E51" s="161"/>
      <c r="F51" s="161"/>
      <c r="G51" s="161"/>
      <c r="H51" s="161"/>
    </row>
    <row r="52" spans="1:8" x14ac:dyDescent="0.3">
      <c r="A52" s="161"/>
      <c r="B52" s="161"/>
      <c r="C52" s="161"/>
      <c r="D52" s="161"/>
      <c r="E52" s="161"/>
      <c r="F52" s="161"/>
      <c r="G52" s="161"/>
      <c r="H52" s="161"/>
    </row>
    <row r="53" spans="1:8" x14ac:dyDescent="0.3">
      <c r="A53" s="161"/>
      <c r="B53" s="161"/>
      <c r="C53" s="161"/>
      <c r="D53" s="161"/>
      <c r="E53" s="161"/>
      <c r="F53" s="161"/>
      <c r="G53" s="161"/>
      <c r="H53" s="161"/>
    </row>
    <row r="54" spans="1:8" x14ac:dyDescent="0.3">
      <c r="A54" s="161"/>
      <c r="B54" s="161"/>
      <c r="C54" s="161"/>
      <c r="D54" s="161"/>
      <c r="E54" s="161"/>
      <c r="F54" s="161"/>
      <c r="G54" s="161"/>
      <c r="H54" s="161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</sheetData>
  <pageMargins left="0.7" right="0.7" top="0.75" bottom="0.75" header="0.3" footer="0.3"/>
  <pageSetup paperSize="9" scale="69" fitToHeight="0" orientation="landscape" r:id="rId1"/>
</worksheet>
</file>

<file path=xl/worksheets/sheet1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1"/>
  <sheetViews>
    <sheetView showGridLines="0" workbookViewId="0"/>
  </sheetViews>
  <sheetFormatPr defaultColWidth="9.109375" defaultRowHeight="14.4" x14ac:dyDescent="0.3"/>
  <cols>
    <col min="1" max="1" width="15.109375" style="161" bestFit="1" customWidth="1"/>
    <col min="2" max="2" width="43" style="161" customWidth="1"/>
    <col min="3" max="3" width="44.109375" style="161" customWidth="1"/>
    <col min="4" max="4" width="13.6640625" style="161" bestFit="1" customWidth="1"/>
    <col min="5" max="5" width="14.33203125" style="161" bestFit="1" customWidth="1"/>
    <col min="6" max="6" width="12.109375" style="161" bestFit="1" customWidth="1"/>
    <col min="7" max="7" width="31.109375" style="161" customWidth="1"/>
    <col min="8" max="8" width="14" style="161" bestFit="1" customWidth="1"/>
    <col min="9" max="9" width="19.88671875" style="161" customWidth="1"/>
    <col min="10" max="10" width="14" style="161" bestFit="1" customWidth="1"/>
    <col min="11" max="11" width="10.5546875" style="161" bestFit="1" customWidth="1"/>
    <col min="12" max="12" width="11.44140625" style="161" bestFit="1" customWidth="1"/>
    <col min="13" max="13" width="14" style="161" bestFit="1" customWidth="1"/>
    <col min="14" max="14" width="15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N11+I19</f>
        <v>2.9895998925801059</v>
      </c>
    </row>
    <row r="2" spans="1:14" x14ac:dyDescent="0.3">
      <c r="A2" s="570" t="s">
        <v>532</v>
      </c>
      <c r="B2" s="248" t="s">
        <v>1605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1676</v>
      </c>
      <c r="D4" s="570" t="s">
        <v>541</v>
      </c>
      <c r="J4" s="570" t="s">
        <v>538</v>
      </c>
      <c r="M4" s="570" t="s">
        <v>539</v>
      </c>
      <c r="N4" s="336">
        <f>N1*N2</f>
        <v>2.9895998925801059</v>
      </c>
    </row>
    <row r="5" spans="1:14" x14ac:dyDescent="0.3">
      <c r="A5" s="570" t="s">
        <v>537</v>
      </c>
      <c r="B5" s="604" t="s">
        <v>236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1677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x14ac:dyDescent="0.3">
      <c r="A10" s="168">
        <v>10</v>
      </c>
      <c r="B10" s="168" t="s">
        <v>1678</v>
      </c>
      <c r="C10" s="168" t="s">
        <v>1679</v>
      </c>
      <c r="D10" s="302">
        <v>2.25</v>
      </c>
      <c r="E10" s="168">
        <v>12</v>
      </c>
      <c r="F10" s="168" t="s">
        <v>573</v>
      </c>
      <c r="G10" s="168"/>
      <c r="H10" s="219"/>
      <c r="I10" s="269" t="s">
        <v>1680</v>
      </c>
      <c r="J10" s="227">
        <f>PI()*0.006*0.006</f>
        <v>1.1309733552923255E-4</v>
      </c>
      <c r="K10" s="610">
        <v>9.4E-2</v>
      </c>
      <c r="L10" s="219">
        <v>8010</v>
      </c>
      <c r="M10" s="222">
        <v>1</v>
      </c>
      <c r="N10" s="322">
        <f>IF(J10="",D10*M10,D10*J10*K10*L10*M10)</f>
        <v>0.19159989258010579</v>
      </c>
    </row>
    <row r="11" spans="1:14" s="178" customFormat="1" x14ac:dyDescent="0.3">
      <c r="M11" s="574" t="s">
        <v>547</v>
      </c>
      <c r="N11" s="575">
        <f>SUM(N10:N10)</f>
        <v>0.19159989258010579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93" t="s">
        <v>1646</v>
      </c>
      <c r="D14" s="323">
        <v>1.3</v>
      </c>
      <c r="E14" s="168" t="s">
        <v>556</v>
      </c>
      <c r="F14" s="168">
        <v>1</v>
      </c>
      <c r="G14" s="168"/>
      <c r="H14" s="168"/>
      <c r="I14" s="323">
        <f>IF('FR 04014'!$H14&lt;&gt;"",'FR 04014'!$D14*'FR 04014'!$F14*'FR 04014'!$H14,'FR 04014'!$D14*'FR 04014'!$F14)</f>
        <v>1.3</v>
      </c>
    </row>
    <row r="15" spans="1:14" ht="16.5" customHeight="1" x14ac:dyDescent="0.3">
      <c r="A15" s="168">
        <v>20</v>
      </c>
      <c r="B15" s="180" t="s">
        <v>609</v>
      </c>
      <c r="C15" s="184" t="s">
        <v>1681</v>
      </c>
      <c r="D15" s="323">
        <v>0.04</v>
      </c>
      <c r="E15" s="168" t="s">
        <v>610</v>
      </c>
      <c r="F15" s="168">
        <v>2.7</v>
      </c>
      <c r="G15" s="180" t="s">
        <v>598</v>
      </c>
      <c r="H15" s="179">
        <v>3</v>
      </c>
      <c r="I15" s="323">
        <f>IF('FR 04014'!$H15&lt;&gt;"",'FR 04014'!$D15*'FR 04014'!$F15*'FR 04014'!$H15,'FR 04014'!$D15*'FR 04014'!$F15)</f>
        <v>0.32400000000000007</v>
      </c>
    </row>
    <row r="16" spans="1:14" x14ac:dyDescent="0.3">
      <c r="A16" s="168">
        <v>30</v>
      </c>
      <c r="B16" s="180" t="s">
        <v>785</v>
      </c>
      <c r="C16" s="193" t="s">
        <v>1660</v>
      </c>
      <c r="D16" s="323">
        <v>0.65</v>
      </c>
      <c r="E16" s="168" t="s">
        <v>556</v>
      </c>
      <c r="F16" s="168">
        <v>1</v>
      </c>
      <c r="G16" s="168"/>
      <c r="H16" s="168"/>
      <c r="I16" s="323">
        <f>IF('FR 04014'!$H16&lt;&gt;"",'FR 04014'!$D16*'FR 04014'!$F16*'FR 04014'!$H16,'FR 04014'!$D16*'FR 04014'!$F16)</f>
        <v>0.65</v>
      </c>
    </row>
    <row r="17" spans="1:9" x14ac:dyDescent="0.3">
      <c r="A17" s="168">
        <v>40</v>
      </c>
      <c r="B17" s="180" t="s">
        <v>609</v>
      </c>
      <c r="C17" s="184" t="s">
        <v>1682</v>
      </c>
      <c r="D17" s="323">
        <v>0.04</v>
      </c>
      <c r="E17" s="168" t="s">
        <v>610</v>
      </c>
      <c r="F17" s="168">
        <v>2.7</v>
      </c>
      <c r="G17" s="180" t="s">
        <v>598</v>
      </c>
      <c r="H17" s="179">
        <v>3</v>
      </c>
      <c r="I17" s="323">
        <f>IF('FR 04014'!$H17&lt;&gt;"",'FR 04014'!$D17*'FR 04014'!$F17*'FR 04014'!$H17,'FR 04014'!$D17*'FR 04014'!$F17)</f>
        <v>0.32400000000000007</v>
      </c>
    </row>
    <row r="18" spans="1:9" x14ac:dyDescent="0.3">
      <c r="A18" s="168">
        <v>50</v>
      </c>
      <c r="B18" s="180" t="s">
        <v>1683</v>
      </c>
      <c r="C18" s="168" t="s">
        <v>1684</v>
      </c>
      <c r="D18" s="243">
        <v>0.1</v>
      </c>
      <c r="E18" s="180" t="s">
        <v>593</v>
      </c>
      <c r="F18" s="168">
        <v>2</v>
      </c>
      <c r="G18" s="168"/>
      <c r="H18" s="168"/>
      <c r="I18" s="323">
        <f>IF('FR 04014'!$H18&lt;&gt;"",'FR 04014'!$D18*'FR 04014'!$F18*'FR 04014'!$H18,'FR 04014'!$D18*'FR 04014'!$F18)</f>
        <v>0.2</v>
      </c>
    </row>
    <row r="19" spans="1:9" s="178" customFormat="1" x14ac:dyDescent="0.3">
      <c r="H19" s="574" t="s">
        <v>547</v>
      </c>
      <c r="I19" s="575">
        <f>SUM(I14:I18)</f>
        <v>2.798</v>
      </c>
    </row>
    <row r="21" spans="1:9" x14ac:dyDescent="0.3">
      <c r="H21" s="326"/>
      <c r="I21" s="325"/>
    </row>
  </sheetData>
  <pageMargins left="0.5" right="0.5" top="0.75" bottom="0.75" header="0.3" footer="0.3"/>
  <pageSetup scale="46" orientation="landscape" r:id="rId1"/>
  <drawing r:id="rId2"/>
</worksheet>
</file>

<file path=xl/worksheets/sheet1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6.109375" style="161" customWidth="1"/>
    <col min="3" max="3" width="44.109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31.109375" style="161" customWidth="1"/>
    <col min="8" max="8" width="13.88671875" style="161" bestFit="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2.5317297200000004</v>
      </c>
    </row>
    <row r="2" spans="1:14" x14ac:dyDescent="0.3">
      <c r="A2" s="570" t="s">
        <v>532</v>
      </c>
      <c r="B2" s="248" t="s">
        <v>1605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1514</v>
      </c>
      <c r="D4" s="570" t="s">
        <v>541</v>
      </c>
      <c r="J4" s="570" t="s">
        <v>538</v>
      </c>
      <c r="M4" s="570" t="s">
        <v>539</v>
      </c>
      <c r="N4" s="336">
        <f>N1*N2</f>
        <v>2.5317297200000004</v>
      </c>
    </row>
    <row r="5" spans="1:14" x14ac:dyDescent="0.3">
      <c r="A5" s="570" t="s">
        <v>537</v>
      </c>
      <c r="B5" s="604" t="s">
        <v>237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1669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607</v>
      </c>
      <c r="D10" s="302">
        <v>4.2</v>
      </c>
      <c r="E10" s="168">
        <v>97</v>
      </c>
      <c r="F10" s="168" t="s">
        <v>573</v>
      </c>
      <c r="G10" s="168">
        <v>90</v>
      </c>
      <c r="H10" s="219" t="s">
        <v>573</v>
      </c>
      <c r="I10" s="269" t="s">
        <v>1673</v>
      </c>
      <c r="J10" s="227">
        <f>0.097*0.09</f>
        <v>8.7299999999999999E-3</v>
      </c>
      <c r="K10" s="610">
        <v>2E-3</v>
      </c>
      <c r="L10" s="219">
        <v>2710</v>
      </c>
      <c r="M10" s="222">
        <v>1</v>
      </c>
      <c r="N10" s="322">
        <f>IF(J10="",D10*M10,D10*J10*K10*L10*M10)</f>
        <v>0.19872972000000003</v>
      </c>
    </row>
    <row r="11" spans="1:14" s="178" customFormat="1" x14ac:dyDescent="0.3">
      <c r="M11" s="574" t="s">
        <v>547</v>
      </c>
      <c r="N11" s="575">
        <f>SUM(N10:N10)</f>
        <v>0.19872972000000003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68" t="s">
        <v>699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D14*F14</f>
        <v>1.3</v>
      </c>
    </row>
    <row r="15" spans="1:14" x14ac:dyDescent="0.3">
      <c r="A15" s="168">
        <v>20</v>
      </c>
      <c r="B15" s="285" t="s">
        <v>700</v>
      </c>
      <c r="C15" s="171" t="s">
        <v>701</v>
      </c>
      <c r="D15" s="323">
        <v>0.01</v>
      </c>
      <c r="E15" s="168" t="s">
        <v>593</v>
      </c>
      <c r="F15" s="168">
        <v>53.3</v>
      </c>
      <c r="G15" s="180" t="s">
        <v>710</v>
      </c>
      <c r="H15" s="179">
        <v>1</v>
      </c>
      <c r="I15" s="323">
        <f>IF('FR 04015'!$H15&lt;&gt;"",'FR 04015'!$D15*'FR 04015'!$F15*'FR 04015'!$H15,'FR 04015'!$D15*'FR 04015'!$F15)</f>
        <v>0.53300000000000003</v>
      </c>
    </row>
    <row r="16" spans="1:14" x14ac:dyDescent="0.3">
      <c r="A16" s="168">
        <v>30</v>
      </c>
      <c r="B16" s="180" t="s">
        <v>702</v>
      </c>
      <c r="C16" s="168" t="s">
        <v>703</v>
      </c>
      <c r="D16" s="323">
        <v>0.25</v>
      </c>
      <c r="E16" s="168" t="s">
        <v>704</v>
      </c>
      <c r="F16" s="168">
        <v>2</v>
      </c>
      <c r="G16" s="168"/>
      <c r="H16" s="168"/>
      <c r="I16" s="323">
        <f>IF('FR 04015'!$H16&lt;&gt;"",'FR 04015'!$D16*'FR 04015'!$F16*'FR 04015'!$H16,'FR 04015'!$D16*'FR 04015'!$F16)</f>
        <v>0.5</v>
      </c>
    </row>
    <row r="17" spans="8:9" s="178" customFormat="1" x14ac:dyDescent="0.3">
      <c r="H17" s="574" t="s">
        <v>547</v>
      </c>
      <c r="I17" s="575">
        <f>SUM(I14:I16)</f>
        <v>2.3330000000000002</v>
      </c>
    </row>
  </sheetData>
  <pageMargins left="0.5" right="0.5" top="0.75" bottom="0.75" header="0.3" footer="0.3"/>
  <pageSetup scale="48" orientation="landscape" r:id="rId1"/>
</worksheet>
</file>

<file path=xl/worksheets/sheet1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6.109375" style="161" customWidth="1"/>
    <col min="3" max="3" width="44.109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31.109375" style="161" customWidth="1"/>
    <col min="8" max="8" width="13.88671875" style="161" bestFit="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2.5317297200000004</v>
      </c>
    </row>
    <row r="2" spans="1:14" x14ac:dyDescent="0.3">
      <c r="A2" s="570" t="s">
        <v>532</v>
      </c>
      <c r="B2" s="248" t="s">
        <v>1605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1515</v>
      </c>
      <c r="D4" s="570" t="s">
        <v>541</v>
      </c>
      <c r="J4" s="570" t="s">
        <v>538</v>
      </c>
      <c r="M4" s="570" t="s">
        <v>539</v>
      </c>
      <c r="N4" s="336">
        <f>N1*N2</f>
        <v>2.5317297200000004</v>
      </c>
    </row>
    <row r="5" spans="1:14" x14ac:dyDescent="0.3">
      <c r="A5" s="570" t="s">
        <v>537</v>
      </c>
      <c r="B5" s="604" t="s">
        <v>238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1669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607</v>
      </c>
      <c r="D10" s="302">
        <v>4.2</v>
      </c>
      <c r="E10" s="168">
        <v>97</v>
      </c>
      <c r="F10" s="168" t="s">
        <v>573</v>
      </c>
      <c r="G10" s="168">
        <v>90</v>
      </c>
      <c r="H10" s="219" t="s">
        <v>573</v>
      </c>
      <c r="I10" s="269" t="s">
        <v>1673</v>
      </c>
      <c r="J10" s="227">
        <f>0.097*0.09</f>
        <v>8.7299999999999999E-3</v>
      </c>
      <c r="K10" s="610">
        <v>2E-3</v>
      </c>
      <c r="L10" s="219">
        <v>2710</v>
      </c>
      <c r="M10" s="222">
        <v>1</v>
      </c>
      <c r="N10" s="322">
        <f>IF(J10="",D10*M10,D10*J10*K10*L10*M10)</f>
        <v>0.19872972000000003</v>
      </c>
    </row>
    <row r="11" spans="1:14" s="178" customFormat="1" x14ac:dyDescent="0.3">
      <c r="M11" s="574" t="s">
        <v>547</v>
      </c>
      <c r="N11" s="575">
        <f>SUM(N10:N10)</f>
        <v>0.19872972000000003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68" t="s">
        <v>699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D14*F14</f>
        <v>1.3</v>
      </c>
    </row>
    <row r="15" spans="1:14" x14ac:dyDescent="0.3">
      <c r="A15" s="168">
        <v>20</v>
      </c>
      <c r="B15" s="285" t="s">
        <v>700</v>
      </c>
      <c r="C15" s="171" t="s">
        <v>701</v>
      </c>
      <c r="D15" s="323">
        <v>0.01</v>
      </c>
      <c r="E15" s="168" t="s">
        <v>593</v>
      </c>
      <c r="F15" s="168">
        <v>53.3</v>
      </c>
      <c r="G15" s="180" t="s">
        <v>710</v>
      </c>
      <c r="H15" s="179">
        <v>1</v>
      </c>
      <c r="I15" s="323">
        <f>IF('FR 04016'!$H15&lt;&gt;"",'FR 04016'!$D15*'FR 04016'!$F15*'FR 04016'!$H15,'FR 04016'!$D15*'FR 04016'!$F15)</f>
        <v>0.53300000000000003</v>
      </c>
    </row>
    <row r="16" spans="1:14" x14ac:dyDescent="0.3">
      <c r="A16" s="168">
        <v>30</v>
      </c>
      <c r="B16" s="180" t="s">
        <v>702</v>
      </c>
      <c r="C16" s="168" t="s">
        <v>703</v>
      </c>
      <c r="D16" s="323">
        <v>0.25</v>
      </c>
      <c r="E16" s="168" t="s">
        <v>704</v>
      </c>
      <c r="F16" s="168">
        <v>2</v>
      </c>
      <c r="G16" s="168"/>
      <c r="H16" s="168"/>
      <c r="I16" s="323">
        <f>IF('FR 04016'!$H16&lt;&gt;"",'FR 04016'!$D16*'FR 04016'!$F16*'FR 04016'!$H16,'FR 04016'!$D16*'FR 04016'!$F16)</f>
        <v>0.5</v>
      </c>
    </row>
    <row r="17" spans="8:9" s="178" customFormat="1" x14ac:dyDescent="0.3">
      <c r="H17" s="574" t="s">
        <v>547</v>
      </c>
      <c r="I17" s="575">
        <f>SUM(I14:I16)</f>
        <v>2.3330000000000002</v>
      </c>
    </row>
  </sheetData>
  <pageMargins left="0.5" right="0.5" top="0.75" bottom="0.75" header="0.3" footer="0.3"/>
  <pageSetup scale="48" orientation="landscape" r:id="rId1"/>
</worksheet>
</file>

<file path=xl/worksheets/sheet1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6.109375" style="161" customWidth="1"/>
    <col min="3" max="3" width="44.109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31.109375" style="161" customWidth="1"/>
    <col min="8" max="8" width="13.88671875" style="161" bestFit="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2.1050399800000004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1516</v>
      </c>
      <c r="D4" s="570" t="s">
        <v>541</v>
      </c>
      <c r="J4" s="570" t="s">
        <v>538</v>
      </c>
      <c r="M4" s="570" t="s">
        <v>539</v>
      </c>
      <c r="N4" s="336">
        <f>N1*N2</f>
        <v>2.1050399800000004</v>
      </c>
    </row>
    <row r="5" spans="1:14" x14ac:dyDescent="0.3">
      <c r="A5" s="570" t="s">
        <v>537</v>
      </c>
      <c r="B5" s="604" t="s">
        <v>239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1669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607</v>
      </c>
      <c r="D10" s="302">
        <v>4.2</v>
      </c>
      <c r="E10" s="168">
        <v>95</v>
      </c>
      <c r="F10" s="168" t="s">
        <v>573</v>
      </c>
      <c r="G10" s="168">
        <v>31</v>
      </c>
      <c r="H10" s="219" t="s">
        <v>573</v>
      </c>
      <c r="I10" s="269" t="s">
        <v>1675</v>
      </c>
      <c r="J10" s="227">
        <f>0.095*0.031</f>
        <v>2.9450000000000001E-3</v>
      </c>
      <c r="K10" s="610">
        <v>2E-3</v>
      </c>
      <c r="L10" s="219">
        <v>2710</v>
      </c>
      <c r="M10" s="222">
        <v>1</v>
      </c>
      <c r="N10" s="322">
        <f>IF(J10="",D10*M10,D10*J10*K10*L10*M10)</f>
        <v>6.7039980000000013E-2</v>
      </c>
    </row>
    <row r="11" spans="1:14" s="178" customFormat="1" x14ac:dyDescent="0.3">
      <c r="M11" s="574" t="s">
        <v>547</v>
      </c>
      <c r="N11" s="575">
        <f>SUM(N10:N10)</f>
        <v>6.7039980000000013E-2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68" t="s">
        <v>699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D14*F14</f>
        <v>1.3</v>
      </c>
    </row>
    <row r="15" spans="1:14" x14ac:dyDescent="0.3">
      <c r="A15" s="168">
        <v>20</v>
      </c>
      <c r="B15" s="285" t="s">
        <v>700</v>
      </c>
      <c r="C15" s="171" t="s">
        <v>701</v>
      </c>
      <c r="D15" s="323">
        <v>0.01</v>
      </c>
      <c r="E15" s="168" t="s">
        <v>593</v>
      </c>
      <c r="F15" s="168">
        <v>23.8</v>
      </c>
      <c r="G15" s="180" t="s">
        <v>710</v>
      </c>
      <c r="H15" s="179">
        <v>1</v>
      </c>
      <c r="I15" s="323">
        <f>IF('FR 04017'!$H15&lt;&gt;"",'FR 04017'!$D15*'FR 04017'!$F15*'FR 04017'!$H15,'FR 04017'!$D15*'FR 04017'!$F15)</f>
        <v>0.23800000000000002</v>
      </c>
    </row>
    <row r="16" spans="1:14" x14ac:dyDescent="0.3">
      <c r="A16" s="168">
        <v>30</v>
      </c>
      <c r="B16" s="180" t="s">
        <v>702</v>
      </c>
      <c r="C16" s="168" t="s">
        <v>703</v>
      </c>
      <c r="D16" s="323">
        <v>0.25</v>
      </c>
      <c r="E16" s="168" t="s">
        <v>704</v>
      </c>
      <c r="F16" s="168">
        <v>2</v>
      </c>
      <c r="G16" s="168"/>
      <c r="H16" s="168"/>
      <c r="I16" s="323">
        <f>IF('FR 04017'!$H16&lt;&gt;"",'FR 04017'!$D16*'FR 04017'!$F16*'FR 04017'!$H16,'FR 04017'!$D16*'FR 04017'!$F16)</f>
        <v>0.5</v>
      </c>
    </row>
    <row r="17" spans="8:9" s="178" customFormat="1" x14ac:dyDescent="0.3">
      <c r="H17" s="574" t="s">
        <v>547</v>
      </c>
      <c r="I17" s="575">
        <f>SUM(I14:I16)</f>
        <v>2.0380000000000003</v>
      </c>
    </row>
  </sheetData>
  <pageMargins left="0.5" right="0.5" top="0.75" bottom="0.75" header="0.3" footer="0.3"/>
  <pageSetup scale="48" orientation="landscape" r:id="rId1"/>
</worksheet>
</file>

<file path=xl/worksheets/sheet1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6.109375" style="161" customWidth="1"/>
    <col min="3" max="3" width="44.109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31.109375" style="161" customWidth="1"/>
    <col min="8" max="8" width="13.88671875" style="161" bestFit="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2.2120150399999998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1517</v>
      </c>
      <c r="D4" s="570" t="s">
        <v>541</v>
      </c>
      <c r="J4" s="570" t="s">
        <v>538</v>
      </c>
      <c r="M4" s="570" t="s">
        <v>539</v>
      </c>
      <c r="N4" s="336">
        <f>N1*N2</f>
        <v>2.2120150399999998</v>
      </c>
    </row>
    <row r="5" spans="1:14" x14ac:dyDescent="0.3">
      <c r="A5" s="570" t="s">
        <v>537</v>
      </c>
      <c r="B5" s="604" t="s">
        <v>240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1669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607</v>
      </c>
      <c r="D10" s="302">
        <v>4.2</v>
      </c>
      <c r="E10" s="168">
        <v>67</v>
      </c>
      <c r="F10" s="168" t="s">
        <v>573</v>
      </c>
      <c r="G10" s="168">
        <v>80</v>
      </c>
      <c r="H10" s="219" t="s">
        <v>573</v>
      </c>
      <c r="I10" s="269" t="s">
        <v>1674</v>
      </c>
      <c r="J10" s="227">
        <f>0.067*0.08</f>
        <v>5.3600000000000002E-3</v>
      </c>
      <c r="K10" s="610">
        <v>2E-3</v>
      </c>
      <c r="L10" s="219">
        <v>2710</v>
      </c>
      <c r="M10" s="222">
        <v>1</v>
      </c>
      <c r="N10" s="322">
        <f>IF(J10="",D10*M10,D10*J10*K10*L10*M10)</f>
        <v>0.12201504000000001</v>
      </c>
    </row>
    <row r="11" spans="1:14" s="178" customFormat="1" x14ac:dyDescent="0.3">
      <c r="M11" s="574" t="s">
        <v>547</v>
      </c>
      <c r="N11" s="575">
        <f>SUM(N10:N10)</f>
        <v>0.12201504000000001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68" t="s">
        <v>699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D14*F14</f>
        <v>1.3</v>
      </c>
    </row>
    <row r="15" spans="1:14" x14ac:dyDescent="0.3">
      <c r="A15" s="168">
        <v>20</v>
      </c>
      <c r="B15" s="285" t="s">
        <v>700</v>
      </c>
      <c r="C15" s="171" t="s">
        <v>701</v>
      </c>
      <c r="D15" s="323">
        <v>0.01</v>
      </c>
      <c r="E15" s="168" t="s">
        <v>593</v>
      </c>
      <c r="F15" s="168">
        <v>29</v>
      </c>
      <c r="G15" s="180" t="s">
        <v>710</v>
      </c>
      <c r="H15" s="179">
        <v>1</v>
      </c>
      <c r="I15" s="323">
        <f>IF('FR 04018'!$H15&lt;&gt;"",'FR 04018'!$D15*'FR 04018'!$F15*'FR 04018'!$H15,'FR 04018'!$D15*'FR 04018'!$F15)</f>
        <v>0.28999999999999998</v>
      </c>
    </row>
    <row r="16" spans="1:14" x14ac:dyDescent="0.3">
      <c r="A16" s="168">
        <v>30</v>
      </c>
      <c r="B16" s="180" t="s">
        <v>702</v>
      </c>
      <c r="C16" s="168" t="s">
        <v>703</v>
      </c>
      <c r="D16" s="323">
        <v>0.25</v>
      </c>
      <c r="E16" s="168" t="s">
        <v>704</v>
      </c>
      <c r="F16" s="168">
        <v>2</v>
      </c>
      <c r="G16" s="168"/>
      <c r="H16" s="168"/>
      <c r="I16" s="323">
        <f>IF('FR 04018'!$H16&lt;&gt;"",'FR 04018'!$D16*'FR 04018'!$F16*'FR 04018'!$H16,'FR 04018'!$D16*'FR 04018'!$F16)</f>
        <v>0.5</v>
      </c>
    </row>
    <row r="17" spans="8:9" s="178" customFormat="1" x14ac:dyDescent="0.3">
      <c r="H17" s="574" t="s">
        <v>547</v>
      </c>
      <c r="I17" s="575">
        <f>SUM(I14:I16)</f>
        <v>2.09</v>
      </c>
    </row>
  </sheetData>
  <pageMargins left="0.5" right="0.5" top="0.75" bottom="0.75" header="0.3" footer="0.3"/>
  <pageSetup scale="48" orientation="landscape" r:id="rId1"/>
</worksheet>
</file>

<file path=xl/worksheets/sheet1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9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40.33203125" style="161" customWidth="1"/>
    <col min="3" max="3" width="44.109375" style="161" customWidth="1"/>
    <col min="4" max="4" width="13.5546875" style="161" bestFit="1" customWidth="1"/>
    <col min="5" max="5" width="10.5546875" style="161" customWidth="1"/>
    <col min="6" max="6" width="12" style="161" bestFit="1" customWidth="1"/>
    <col min="7" max="7" width="23.44140625" style="161" customWidth="1"/>
    <col min="8" max="8" width="11.21875" style="16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N11+I19</f>
        <v>2.7964854999999997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1518</v>
      </c>
      <c r="D4" s="570" t="s">
        <v>541</v>
      </c>
      <c r="J4" s="570" t="s">
        <v>538</v>
      </c>
      <c r="M4" s="570" t="s">
        <v>539</v>
      </c>
      <c r="N4" s="336">
        <f>N1*N2</f>
        <v>2.7964854999999997</v>
      </c>
    </row>
    <row r="5" spans="1:14" x14ac:dyDescent="0.3">
      <c r="A5" s="570" t="s">
        <v>537</v>
      </c>
      <c r="B5" s="604" t="s">
        <v>241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1685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1633</v>
      </c>
      <c r="D10" s="302">
        <v>4.2</v>
      </c>
      <c r="E10" s="168">
        <v>15</v>
      </c>
      <c r="F10" s="168" t="s">
        <v>573</v>
      </c>
      <c r="G10" s="168">
        <v>30</v>
      </c>
      <c r="H10" s="219" t="s">
        <v>573</v>
      </c>
      <c r="I10" s="269" t="s">
        <v>1686</v>
      </c>
      <c r="J10" s="227">
        <f>0.015*0.03</f>
        <v>4.4999999999999999E-4</v>
      </c>
      <c r="K10" s="610">
        <v>4.4999999999999998E-2</v>
      </c>
      <c r="L10" s="219">
        <v>2710</v>
      </c>
      <c r="M10" s="222">
        <v>1</v>
      </c>
      <c r="N10" s="322">
        <f>IF(J10="",D10*M10,D10*J10*K10*L10*M10)</f>
        <v>0.23048549999999998</v>
      </c>
    </row>
    <row r="11" spans="1:14" s="178" customFormat="1" x14ac:dyDescent="0.3">
      <c r="M11" s="574" t="s">
        <v>547</v>
      </c>
      <c r="N11" s="575">
        <f>SUM(N10:N10)</f>
        <v>0.23048549999999998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93" t="s">
        <v>1646</v>
      </c>
      <c r="D14" s="323">
        <v>1.3</v>
      </c>
      <c r="E14" s="168" t="s">
        <v>556</v>
      </c>
      <c r="F14" s="168">
        <v>1</v>
      </c>
      <c r="G14" s="168"/>
      <c r="H14" s="168"/>
      <c r="I14" s="323">
        <f>IF('FR 04019'!$H14&lt;&gt;"",'FR 04019'!$D14*'FR 04019'!$F14*'FR 04019'!$H14,'FR 04019'!$D14*'FR 04019'!$F14)</f>
        <v>1.3</v>
      </c>
    </row>
    <row r="15" spans="1:14" ht="16.5" customHeight="1" x14ac:dyDescent="0.3">
      <c r="A15" s="168">
        <v>20</v>
      </c>
      <c r="B15" s="180" t="s">
        <v>609</v>
      </c>
      <c r="C15" s="184" t="s">
        <v>1687</v>
      </c>
      <c r="D15" s="323">
        <v>0.04</v>
      </c>
      <c r="E15" s="168" t="s">
        <v>610</v>
      </c>
      <c r="F15" s="168">
        <v>6.7</v>
      </c>
      <c r="G15" s="180" t="s">
        <v>710</v>
      </c>
      <c r="H15" s="179">
        <v>1</v>
      </c>
      <c r="I15" s="323">
        <f>IF('FR 04019'!$H15&lt;&gt;"",'FR 04019'!$D15*'FR 04019'!$F15*'FR 04019'!$H15,'FR 04019'!$D15*'FR 04019'!$F15)</f>
        <v>0.26800000000000002</v>
      </c>
    </row>
    <row r="16" spans="1:14" x14ac:dyDescent="0.3">
      <c r="A16" s="168">
        <v>30</v>
      </c>
      <c r="B16" s="180" t="s">
        <v>785</v>
      </c>
      <c r="C16" s="193" t="s">
        <v>1660</v>
      </c>
      <c r="D16" s="323">
        <v>0.65</v>
      </c>
      <c r="E16" s="168" t="s">
        <v>556</v>
      </c>
      <c r="F16" s="168">
        <v>1</v>
      </c>
      <c r="G16" s="168"/>
      <c r="H16" s="168"/>
      <c r="I16" s="323">
        <f>IF('FR 04019'!$H16&lt;&gt;"",'FR 04019'!$D16*'FR 04019'!$F16*'FR 04019'!$H16,'FR 04019'!$D16*'FR 04019'!$F16)</f>
        <v>0.65</v>
      </c>
    </row>
    <row r="17" spans="1:9" x14ac:dyDescent="0.3">
      <c r="A17" s="168">
        <v>40</v>
      </c>
      <c r="B17" s="180" t="s">
        <v>609</v>
      </c>
      <c r="C17" s="184" t="s">
        <v>1682</v>
      </c>
      <c r="D17" s="323">
        <v>0.04</v>
      </c>
      <c r="E17" s="168" t="s">
        <v>610</v>
      </c>
      <c r="F17" s="168">
        <v>6.7</v>
      </c>
      <c r="G17" s="180" t="s">
        <v>710</v>
      </c>
      <c r="H17" s="179">
        <v>1</v>
      </c>
      <c r="I17" s="323">
        <f>IF('FR 04019'!$H17&lt;&gt;"",'FR 04019'!$D17*'FR 04019'!$F17*'FR 04019'!$H17,'FR 04019'!$D17*'FR 04019'!$F17)</f>
        <v>0.26800000000000002</v>
      </c>
    </row>
    <row r="18" spans="1:9" x14ac:dyDescent="0.3">
      <c r="A18" s="168">
        <v>50</v>
      </c>
      <c r="B18" s="171" t="s">
        <v>1612</v>
      </c>
      <c r="C18" s="171" t="s">
        <v>1688</v>
      </c>
      <c r="D18" s="323">
        <v>0.35</v>
      </c>
      <c r="E18" s="168" t="s">
        <v>843</v>
      </c>
      <c r="F18" s="168">
        <v>3</v>
      </c>
      <c r="G18" s="168"/>
      <c r="H18" s="168"/>
      <c r="I18" s="323">
        <f>IF('FR 04009'!$H17&lt;&gt;"",'FR 04009'!$D17*'FR 04009'!$F17*'FR 04009'!$H17,'FR 04009'!$D17*'FR 04009'!$F17)</f>
        <v>0.08</v>
      </c>
    </row>
    <row r="19" spans="1:9" s="178" customFormat="1" x14ac:dyDescent="0.3">
      <c r="H19" s="574" t="s">
        <v>547</v>
      </c>
      <c r="I19" s="575">
        <f>SUM(I14:I18)</f>
        <v>2.5659999999999998</v>
      </c>
    </row>
  </sheetData>
  <pageMargins left="0.5" right="0.5" top="0.75" bottom="0.75" header="0.3" footer="0.3"/>
  <pageSetup scale="50" orientation="landscape" r:id="rId1"/>
</worksheet>
</file>

<file path=xl/worksheets/sheet1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6.109375" style="161" customWidth="1"/>
    <col min="3" max="3" width="37.109375" style="161" customWidth="1"/>
    <col min="4" max="4" width="13.5546875" style="161" bestFit="1" customWidth="1"/>
    <col min="5" max="5" width="10.88671875" style="161" customWidth="1"/>
    <col min="6" max="6" width="8.5546875" style="161" customWidth="1"/>
    <col min="7" max="7" width="24.5546875" style="161" customWidth="1"/>
    <col min="8" max="8" width="10.5546875" style="16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2.575152375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1519</v>
      </c>
      <c r="D4" s="570" t="s">
        <v>541</v>
      </c>
      <c r="J4" s="570" t="s">
        <v>538</v>
      </c>
      <c r="M4" s="570" t="s">
        <v>539</v>
      </c>
      <c r="N4" s="336">
        <f>N1*N2</f>
        <v>2.575152375</v>
      </c>
    </row>
    <row r="5" spans="1:14" x14ac:dyDescent="0.3">
      <c r="A5" s="570" t="s">
        <v>537</v>
      </c>
      <c r="B5" s="604" t="s">
        <v>242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1696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1665</v>
      </c>
      <c r="C10" s="168" t="s">
        <v>607</v>
      </c>
      <c r="D10" s="302">
        <v>2.25</v>
      </c>
      <c r="E10" s="168">
        <v>70</v>
      </c>
      <c r="F10" s="168" t="s">
        <v>573</v>
      </c>
      <c r="G10" s="168">
        <v>15</v>
      </c>
      <c r="H10" s="219" t="s">
        <v>573</v>
      </c>
      <c r="I10" s="269" t="s">
        <v>1697</v>
      </c>
      <c r="J10" s="227">
        <f>0.07*0.015</f>
        <v>1.0500000000000002E-3</v>
      </c>
      <c r="K10" s="610">
        <v>1E-3</v>
      </c>
      <c r="L10" s="219">
        <v>2710</v>
      </c>
      <c r="M10" s="222">
        <v>1</v>
      </c>
      <c r="N10" s="322">
        <f>IF(J10="",D10*M10,D10*J10*K10*L10*M10)</f>
        <v>6.4023750000000018E-3</v>
      </c>
    </row>
    <row r="11" spans="1:14" s="178" customFormat="1" x14ac:dyDescent="0.3">
      <c r="M11" s="574" t="s">
        <v>547</v>
      </c>
      <c r="N11" s="575">
        <f>SUM(N10:N10)</f>
        <v>6.4023750000000018E-3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68" t="s">
        <v>699</v>
      </c>
      <c r="D14" s="323">
        <v>1.3</v>
      </c>
      <c r="E14" s="168" t="s">
        <v>556</v>
      </c>
      <c r="F14" s="168">
        <v>1</v>
      </c>
      <c r="G14" s="180"/>
      <c r="H14" s="179"/>
      <c r="I14" s="323">
        <f>D14*F14</f>
        <v>1.3</v>
      </c>
    </row>
    <row r="15" spans="1:14" x14ac:dyDescent="0.3">
      <c r="A15" s="168">
        <v>20</v>
      </c>
      <c r="B15" s="285" t="s">
        <v>700</v>
      </c>
      <c r="C15" s="171" t="s">
        <v>701</v>
      </c>
      <c r="D15" s="323">
        <v>0.01</v>
      </c>
      <c r="E15" s="168" t="s">
        <v>593</v>
      </c>
      <c r="F15" s="168">
        <v>20.5</v>
      </c>
      <c r="G15" s="168" t="s">
        <v>829</v>
      </c>
      <c r="H15" s="168">
        <v>3.75</v>
      </c>
      <c r="I15" s="323">
        <f>IF('FR 04020'!$H15&lt;&gt;"",'FR 04020'!$D15*'FR 04020'!$F15*'FR 04020'!$H15,'FR 04020'!$D15*'FR 04020'!$F15)</f>
        <v>0.76875000000000004</v>
      </c>
    </row>
    <row r="16" spans="1:14" x14ac:dyDescent="0.3">
      <c r="A16" s="168">
        <v>30</v>
      </c>
      <c r="B16" s="180" t="s">
        <v>702</v>
      </c>
      <c r="C16" s="168" t="s">
        <v>1698</v>
      </c>
      <c r="D16" s="323">
        <v>0.25</v>
      </c>
      <c r="E16" s="168" t="s">
        <v>704</v>
      </c>
      <c r="F16" s="168">
        <v>2</v>
      </c>
      <c r="G16" s="168"/>
      <c r="H16" s="168"/>
      <c r="I16" s="323">
        <f>IF('FR 04020'!$H16&lt;&gt;"",'FR 04020'!$D16*'FR 04020'!$F16*'FR 04020'!$H16,'FR 04020'!$D16*'FR 04020'!$F16)</f>
        <v>0.5</v>
      </c>
    </row>
    <row r="17" spans="8:9" s="178" customFormat="1" x14ac:dyDescent="0.3">
      <c r="H17" s="574" t="s">
        <v>547</v>
      </c>
      <c r="I17" s="575">
        <f>SUM(I14:I16)</f>
        <v>2.5687500000000001</v>
      </c>
    </row>
  </sheetData>
  <pageMargins left="0.5" right="0.5" top="0.75" bottom="0.75" header="0.3" footer="0.3"/>
  <pageSetup scale="52" orientation="landscape" r:id="rId1"/>
</worksheet>
</file>

<file path=xl/worksheets/sheet1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6.109375" style="161" customWidth="1"/>
    <col min="3" max="3" width="44.109375" style="161" customWidth="1"/>
    <col min="4" max="4" width="13.5546875" style="161" bestFit="1" customWidth="1"/>
    <col min="5" max="5" width="14.109375" style="161" bestFit="1" customWidth="1"/>
    <col min="6" max="6" width="8.109375" style="161" customWidth="1"/>
    <col min="7" max="7" width="23.5546875" style="161" customWidth="1"/>
    <col min="8" max="8" width="12" style="161" customWidth="1"/>
    <col min="9" max="9" width="19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2.48196628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1520</v>
      </c>
      <c r="D4" s="570" t="s">
        <v>541</v>
      </c>
      <c r="J4" s="570" t="s">
        <v>538</v>
      </c>
      <c r="M4" s="570" t="s">
        <v>539</v>
      </c>
      <c r="N4" s="336">
        <f>N1*N2</f>
        <v>2.48196628</v>
      </c>
    </row>
    <row r="5" spans="1:14" x14ac:dyDescent="0.3">
      <c r="A5" s="570" t="s">
        <v>537</v>
      </c>
      <c r="B5" s="604" t="s">
        <v>243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1669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707</v>
      </c>
      <c r="C10" s="168" t="s">
        <v>607</v>
      </c>
      <c r="D10" s="302">
        <v>4.2</v>
      </c>
      <c r="E10" s="168">
        <v>85</v>
      </c>
      <c r="F10" s="168" t="s">
        <v>573</v>
      </c>
      <c r="G10" s="168">
        <v>62</v>
      </c>
      <c r="H10" s="219" t="s">
        <v>573</v>
      </c>
      <c r="I10" s="269" t="s">
        <v>1689</v>
      </c>
      <c r="J10" s="227">
        <f>0.085*0.062</f>
        <v>5.2700000000000004E-3</v>
      </c>
      <c r="K10" s="610">
        <v>2E-3</v>
      </c>
      <c r="L10" s="219">
        <v>2710</v>
      </c>
      <c r="M10" s="222">
        <v>1</v>
      </c>
      <c r="N10" s="322">
        <f>IF(J10="",D10*M10,D10*J10*K10*L10*M10)</f>
        <v>0.11996628000000001</v>
      </c>
    </row>
    <row r="11" spans="1:14" s="178" customFormat="1" x14ac:dyDescent="0.3">
      <c r="M11" s="574" t="s">
        <v>547</v>
      </c>
      <c r="N11" s="575">
        <f>SUM(N10:N10)</f>
        <v>0.11996628000000001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589</v>
      </c>
      <c r="C14" s="168" t="s">
        <v>699</v>
      </c>
      <c r="D14" s="323">
        <v>1.3</v>
      </c>
      <c r="E14" s="168" t="s">
        <v>556</v>
      </c>
      <c r="F14" s="168">
        <v>1</v>
      </c>
      <c r="G14" s="180"/>
      <c r="H14" s="179"/>
      <c r="I14" s="323">
        <f>D14*F14</f>
        <v>1.3</v>
      </c>
    </row>
    <row r="15" spans="1:14" x14ac:dyDescent="0.3">
      <c r="A15" s="168">
        <v>20</v>
      </c>
      <c r="B15" s="285" t="s">
        <v>700</v>
      </c>
      <c r="C15" s="171" t="s">
        <v>701</v>
      </c>
      <c r="D15" s="323">
        <v>0.01</v>
      </c>
      <c r="E15" s="168" t="s">
        <v>593</v>
      </c>
      <c r="F15" s="168">
        <v>56.2</v>
      </c>
      <c r="G15" s="180" t="s">
        <v>710</v>
      </c>
      <c r="H15" s="179">
        <v>1</v>
      </c>
      <c r="I15" s="323">
        <f>IF('FR 04021'!$H15&lt;&gt;"",'FR 04021'!$D15*'FR 04021'!$F15*'FR 04021'!$H15,'FR 04021'!$D15*'FR 04021'!$F15)</f>
        <v>0.56200000000000006</v>
      </c>
    </row>
    <row r="16" spans="1:14" x14ac:dyDescent="0.3">
      <c r="A16" s="168">
        <v>30</v>
      </c>
      <c r="B16" s="180" t="s">
        <v>702</v>
      </c>
      <c r="C16" s="168" t="s">
        <v>703</v>
      </c>
      <c r="D16" s="323">
        <v>0.25</v>
      </c>
      <c r="E16" s="168" t="s">
        <v>704</v>
      </c>
      <c r="F16" s="168">
        <v>2</v>
      </c>
      <c r="G16" s="168"/>
      <c r="H16" s="168"/>
      <c r="I16" s="323">
        <f>IF('FR 04021'!$H16&lt;&gt;"",'FR 04021'!$D16*'FR 04021'!$F16*'FR 04021'!$H16,'FR 04021'!$D16*'FR 04021'!$F16)</f>
        <v>0.5</v>
      </c>
    </row>
    <row r="17" spans="8:9" s="178" customFormat="1" x14ac:dyDescent="0.3">
      <c r="H17" s="574" t="s">
        <v>547</v>
      </c>
      <c r="I17" s="575">
        <f>SUM(I14:I16)</f>
        <v>2.3620000000000001</v>
      </c>
    </row>
  </sheetData>
  <pageMargins left="0.5" right="0.5" top="0.75" bottom="0.75" header="0.3" footer="0.3"/>
  <pageSetup scale="50" orientation="landscape" r:id="rId1"/>
</worksheet>
</file>

<file path=xl/worksheets/sheet1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2.88671875" style="161" customWidth="1"/>
    <col min="3" max="3" width="40.109375" style="161" customWidth="1"/>
    <col min="4" max="4" width="13" style="161" customWidth="1"/>
    <col min="5" max="5" width="10" style="161" customWidth="1"/>
    <col min="6" max="6" width="9.109375" style="161" customWidth="1"/>
    <col min="7" max="7" width="15.109375" style="161" customWidth="1"/>
    <col min="8" max="8" width="11.109375" style="161" customWidth="1"/>
    <col min="9" max="9" width="21.5546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332031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N11+I15</f>
        <v>0.62144999999999995</v>
      </c>
    </row>
    <row r="2" spans="1:14" x14ac:dyDescent="0.3">
      <c r="A2" s="570" t="s">
        <v>532</v>
      </c>
      <c r="B2" s="248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211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245</v>
      </c>
      <c r="D4" s="570" t="s">
        <v>541</v>
      </c>
      <c r="J4" s="570" t="s">
        <v>538</v>
      </c>
      <c r="M4" s="570" t="s">
        <v>539</v>
      </c>
      <c r="N4" s="336">
        <f>N1*N2</f>
        <v>1.2428999999999999</v>
      </c>
    </row>
    <row r="5" spans="1:14" x14ac:dyDescent="0.3">
      <c r="A5" s="570" t="s">
        <v>537</v>
      </c>
      <c r="B5" s="604" t="s">
        <v>244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1712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x14ac:dyDescent="0.3">
      <c r="A10" s="168">
        <v>10</v>
      </c>
      <c r="B10" s="225" t="s">
        <v>1713</v>
      </c>
      <c r="C10" s="168" t="s">
        <v>1714</v>
      </c>
      <c r="D10" s="302">
        <v>3.3</v>
      </c>
      <c r="E10" s="168">
        <v>50</v>
      </c>
      <c r="F10" s="168" t="s">
        <v>573</v>
      </c>
      <c r="G10" s="611">
        <v>50</v>
      </c>
      <c r="H10" s="219" t="s">
        <v>573</v>
      </c>
      <c r="I10" s="269" t="s">
        <v>1715</v>
      </c>
      <c r="J10" s="227">
        <f>E10*G10/1000000</f>
        <v>2.5000000000000001E-3</v>
      </c>
      <c r="K10" s="610">
        <v>2E-3</v>
      </c>
      <c r="L10" s="219">
        <v>1300</v>
      </c>
      <c r="M10" s="222">
        <v>1</v>
      </c>
      <c r="N10" s="322">
        <f>IF(J10="",D10*M10,D10*J10*K10*L10*M10)</f>
        <v>2.145E-2</v>
      </c>
    </row>
    <row r="11" spans="1:14" s="178" customFormat="1" x14ac:dyDescent="0.3">
      <c r="M11" s="574" t="s">
        <v>547</v>
      </c>
      <c r="N11" s="575">
        <f>SUM(N10:N10)</f>
        <v>2.145E-2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x14ac:dyDescent="0.3">
      <c r="A14" s="168">
        <v>10</v>
      </c>
      <c r="B14" s="180" t="s">
        <v>1131</v>
      </c>
      <c r="C14" s="193" t="s">
        <v>1716</v>
      </c>
      <c r="D14" s="243">
        <v>0.06</v>
      </c>
      <c r="E14" s="168" t="s">
        <v>593</v>
      </c>
      <c r="F14" s="168">
        <v>10</v>
      </c>
      <c r="G14" s="168"/>
      <c r="H14" s="168"/>
      <c r="I14" s="323">
        <f>IF('FR 04022'!$H14&lt;&gt;"",'FR 04022'!$D14*'FR 04022'!$F14*'FR 04022'!$H14,'FR 04022'!$D14*'FR 04022'!$F14)</f>
        <v>0.6</v>
      </c>
    </row>
    <row r="15" spans="1:14" s="178" customFormat="1" x14ac:dyDescent="0.3">
      <c r="H15" s="574" t="s">
        <v>547</v>
      </c>
      <c r="I15" s="575">
        <f>SUM(I14:I14)</f>
        <v>0.6</v>
      </c>
    </row>
  </sheetData>
  <pageMargins left="0.5" right="0.5" top="0.75" bottom="0.75" header="0.3" footer="0.3"/>
  <pageSetup scale="54" orientation="landscape" r:id="rId1"/>
</worksheet>
</file>

<file path=xl/worksheets/sheet1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33CC"/>
    <pageSetUpPr fitToPage="1"/>
  </sheetPr>
  <dimension ref="A1:P65"/>
  <sheetViews>
    <sheetView showGridLines="0" workbookViewId="0"/>
  </sheetViews>
  <sheetFormatPr defaultColWidth="9.109375" defaultRowHeight="14.4" x14ac:dyDescent="0.3"/>
  <cols>
    <col min="1" max="1" width="10.6640625" style="161" bestFit="1" customWidth="1"/>
    <col min="2" max="2" width="25.5546875" style="161" customWidth="1"/>
    <col min="3" max="3" width="35.109375" style="161" customWidth="1"/>
    <col min="4" max="4" width="11.109375" style="161" customWidth="1"/>
    <col min="5" max="5" width="12" style="161" customWidth="1"/>
    <col min="6" max="6" width="9.6640625" style="161" customWidth="1"/>
    <col min="7" max="7" width="13" style="161" customWidth="1"/>
    <col min="8" max="8" width="14.77734375" style="161" customWidth="1"/>
    <col min="9" max="9" width="12.21875" style="161" bestFit="1" customWidth="1"/>
    <col min="10" max="10" width="11.33203125" style="161" customWidth="1"/>
    <col min="11" max="11" width="9.5546875" style="161" bestFit="1" customWidth="1"/>
    <col min="12" max="12" width="9.33203125" style="161" customWidth="1"/>
    <col min="13" max="13" width="15.44140625" style="161" customWidth="1"/>
    <col min="14" max="14" width="15" style="161" customWidth="1"/>
    <col min="15" max="16384" width="9.109375" style="161"/>
  </cols>
  <sheetData>
    <row r="1" spans="1:14" x14ac:dyDescent="0.3">
      <c r="A1" s="566" t="s">
        <v>523</v>
      </c>
      <c r="B1" s="161" t="s">
        <v>524</v>
      </c>
      <c r="J1" s="566" t="s">
        <v>528</v>
      </c>
      <c r="K1" s="163">
        <v>81</v>
      </c>
      <c r="M1" s="566" t="s">
        <v>531</v>
      </c>
      <c r="N1" s="336">
        <f>E17+N23+I46+J60+I64</f>
        <v>95.310290835321453</v>
      </c>
    </row>
    <row r="2" spans="1:14" x14ac:dyDescent="0.3">
      <c r="A2" s="566" t="s">
        <v>532</v>
      </c>
      <c r="B2" s="161" t="s">
        <v>1418</v>
      </c>
      <c r="M2" s="566" t="s">
        <v>533</v>
      </c>
      <c r="N2" s="165">
        <v>1</v>
      </c>
    </row>
    <row r="3" spans="1:14" x14ac:dyDescent="0.3">
      <c r="A3" s="566" t="s">
        <v>534</v>
      </c>
      <c r="B3" s="161" t="s">
        <v>1719</v>
      </c>
      <c r="J3" s="566" t="s">
        <v>536</v>
      </c>
    </row>
    <row r="4" spans="1:14" x14ac:dyDescent="0.3">
      <c r="A4" s="566" t="s">
        <v>537</v>
      </c>
      <c r="B4" s="166" t="s">
        <v>246</v>
      </c>
      <c r="J4" s="566" t="s">
        <v>538</v>
      </c>
      <c r="M4" s="566" t="s">
        <v>539</v>
      </c>
      <c r="N4" s="336">
        <f>N1*N2</f>
        <v>95.310290835321453</v>
      </c>
    </row>
    <row r="5" spans="1:14" x14ac:dyDescent="0.3">
      <c r="A5" s="566" t="s">
        <v>540</v>
      </c>
      <c r="B5" s="161" t="s">
        <v>36</v>
      </c>
      <c r="J5" s="566" t="s">
        <v>541</v>
      </c>
    </row>
    <row r="6" spans="1:14" x14ac:dyDescent="0.3">
      <c r="A6" s="566" t="s">
        <v>542</v>
      </c>
      <c r="B6" s="161" t="s">
        <v>1720</v>
      </c>
    </row>
    <row r="8" spans="1:14" x14ac:dyDescent="0.3">
      <c r="A8" s="567" t="s">
        <v>544</v>
      </c>
      <c r="B8" s="567" t="s">
        <v>545</v>
      </c>
      <c r="C8" s="567" t="s">
        <v>546</v>
      </c>
      <c r="D8" s="567" t="s">
        <v>28</v>
      </c>
      <c r="E8" s="567" t="s">
        <v>547</v>
      </c>
    </row>
    <row r="9" spans="1:14" x14ac:dyDescent="0.3">
      <c r="A9" s="168">
        <v>10</v>
      </c>
      <c r="B9" s="168" t="s">
        <v>1721</v>
      </c>
      <c r="C9" s="323">
        <f>'FR 05001'!N1</f>
        <v>5.1108119999999992</v>
      </c>
      <c r="D9" s="215">
        <v>2</v>
      </c>
      <c r="E9" s="322">
        <f>C9*D9</f>
        <v>10.221623999999998</v>
      </c>
    </row>
    <row r="10" spans="1:14" x14ac:dyDescent="0.3">
      <c r="A10" s="168">
        <v>20</v>
      </c>
      <c r="B10" s="168" t="s">
        <v>1722</v>
      </c>
      <c r="C10" s="323">
        <f>'FR 05002'!N1</f>
        <v>4.2129414853547136</v>
      </c>
      <c r="D10" s="215">
        <v>1</v>
      </c>
      <c r="E10" s="322">
        <f t="shared" ref="E10:E16" si="0">C10*D10</f>
        <v>4.2129414853547136</v>
      </c>
    </row>
    <row r="11" spans="1:14" x14ac:dyDescent="0.3">
      <c r="A11" s="168">
        <v>30</v>
      </c>
      <c r="B11" s="168" t="s">
        <v>1723</v>
      </c>
      <c r="C11" s="323">
        <f>'FR 05003'!N1</f>
        <v>2.1249791</v>
      </c>
      <c r="D11" s="215">
        <v>1</v>
      </c>
      <c r="E11" s="322">
        <f t="shared" si="0"/>
        <v>2.1249791</v>
      </c>
    </row>
    <row r="12" spans="1:14" x14ac:dyDescent="0.3">
      <c r="A12" s="168">
        <v>40</v>
      </c>
      <c r="B12" s="168" t="s">
        <v>1724</v>
      </c>
      <c r="C12" s="323">
        <f>'FR 05004'!$N$1</f>
        <v>1.7428290880000001</v>
      </c>
      <c r="D12" s="215">
        <v>2</v>
      </c>
      <c r="E12" s="322">
        <f t="shared" si="0"/>
        <v>3.4856581760000003</v>
      </c>
    </row>
    <row r="13" spans="1:14" x14ac:dyDescent="0.3">
      <c r="A13" s="168">
        <v>50</v>
      </c>
      <c r="B13" s="168" t="s">
        <v>1725</v>
      </c>
      <c r="C13" s="323">
        <f>'FR 05005'!N1</f>
        <v>5.5737547406334045</v>
      </c>
      <c r="D13" s="215">
        <v>1</v>
      </c>
      <c r="E13" s="322">
        <f t="shared" si="0"/>
        <v>5.5737547406334045</v>
      </c>
    </row>
    <row r="14" spans="1:14" x14ac:dyDescent="0.3">
      <c r="A14" s="168">
        <v>60</v>
      </c>
      <c r="B14" s="168" t="s">
        <v>1726</v>
      </c>
      <c r="C14" s="323">
        <f>'FR 05006'!N1</f>
        <v>10.871166666666667</v>
      </c>
      <c r="D14" s="215">
        <v>1</v>
      </c>
      <c r="E14" s="322">
        <f t="shared" si="0"/>
        <v>10.871166666666667</v>
      </c>
    </row>
    <row r="15" spans="1:14" x14ac:dyDescent="0.3">
      <c r="A15" s="168">
        <v>70</v>
      </c>
      <c r="B15" s="168" t="s">
        <v>1727</v>
      </c>
      <c r="C15" s="323">
        <f>'FR 05007'!N1</f>
        <v>9.7986666666666675</v>
      </c>
      <c r="D15" s="215">
        <v>1</v>
      </c>
      <c r="E15" s="322">
        <f t="shared" si="0"/>
        <v>9.7986666666666675</v>
      </c>
    </row>
    <row r="16" spans="1:14" x14ac:dyDescent="0.3">
      <c r="A16" s="168">
        <v>80</v>
      </c>
      <c r="B16" s="168" t="s">
        <v>1728</v>
      </c>
      <c r="C16" s="323">
        <f>'FR 05008'!N1</f>
        <v>7.3966666666666665</v>
      </c>
      <c r="D16" s="215">
        <v>1</v>
      </c>
      <c r="E16" s="322">
        <f t="shared" si="0"/>
        <v>7.3966666666666665</v>
      </c>
    </row>
    <row r="17" spans="1:14" x14ac:dyDescent="0.3">
      <c r="D17" s="567" t="s">
        <v>547</v>
      </c>
      <c r="E17" s="569">
        <f>SUM(E9:E16)</f>
        <v>53.685457501988125</v>
      </c>
    </row>
    <row r="19" spans="1:14" x14ac:dyDescent="0.3">
      <c r="A19" s="567" t="s">
        <v>544</v>
      </c>
      <c r="B19" s="567" t="s">
        <v>581</v>
      </c>
      <c r="C19" s="567" t="s">
        <v>549</v>
      </c>
      <c r="D19" s="567" t="s">
        <v>550</v>
      </c>
      <c r="E19" s="567" t="s">
        <v>567</v>
      </c>
      <c r="F19" s="567" t="s">
        <v>568</v>
      </c>
      <c r="G19" s="567" t="s">
        <v>569</v>
      </c>
      <c r="H19" s="567" t="s">
        <v>570</v>
      </c>
      <c r="I19" s="567" t="s">
        <v>582</v>
      </c>
      <c r="J19" s="567" t="s">
        <v>583</v>
      </c>
      <c r="K19" s="567" t="s">
        <v>584</v>
      </c>
      <c r="L19" s="567" t="s">
        <v>585</v>
      </c>
      <c r="M19" s="567" t="s">
        <v>28</v>
      </c>
      <c r="N19" s="567" t="s">
        <v>547</v>
      </c>
    </row>
    <row r="20" spans="1:14" x14ac:dyDescent="0.3">
      <c r="A20" s="168">
        <v>10</v>
      </c>
      <c r="B20" s="256" t="s">
        <v>1065</v>
      </c>
      <c r="C20" s="168" t="s">
        <v>1729</v>
      </c>
      <c r="D20" s="323">
        <v>15</v>
      </c>
      <c r="E20" s="168"/>
      <c r="F20" s="168" t="s">
        <v>644</v>
      </c>
      <c r="G20" s="168"/>
      <c r="H20" s="219"/>
      <c r="I20" s="220"/>
      <c r="J20" s="221"/>
      <c r="K20" s="219"/>
      <c r="L20" s="219"/>
      <c r="M20" s="227">
        <v>1.6</v>
      </c>
      <c r="N20" s="322">
        <f>IF(J20="",D20*M20,D20*J20*K20*L20*M20)</f>
        <v>24</v>
      </c>
    </row>
    <row r="21" spans="1:14" x14ac:dyDescent="0.3">
      <c r="A21" s="168">
        <v>20</v>
      </c>
      <c r="B21" s="168" t="s">
        <v>1730</v>
      </c>
      <c r="C21" s="168"/>
      <c r="D21" s="323">
        <v>1</v>
      </c>
      <c r="E21" s="168"/>
      <c r="F21" s="168"/>
      <c r="G21" s="168"/>
      <c r="H21" s="219"/>
      <c r="I21" s="220"/>
      <c r="J21" s="221"/>
      <c r="K21" s="219"/>
      <c r="L21" s="219"/>
      <c r="M21" s="332">
        <v>2</v>
      </c>
      <c r="N21" s="322">
        <f>IF(J21="",D21*M21,D21*J21*K21*L21*M21)</f>
        <v>2</v>
      </c>
    </row>
    <row r="22" spans="1:14" x14ac:dyDescent="0.3">
      <c r="A22" s="168">
        <v>30</v>
      </c>
      <c r="B22" s="168" t="s">
        <v>625</v>
      </c>
      <c r="C22" s="184" t="s">
        <v>1731</v>
      </c>
      <c r="D22" s="323">
        <v>10</v>
      </c>
      <c r="E22" s="168"/>
      <c r="F22" s="168" t="s">
        <v>627</v>
      </c>
      <c r="G22" s="168"/>
      <c r="H22" s="219"/>
      <c r="I22" s="220"/>
      <c r="J22" s="221"/>
      <c r="K22" s="219"/>
      <c r="L22" s="219"/>
      <c r="M22" s="228">
        <v>6.0000000000000001E-3</v>
      </c>
      <c r="N22" s="322">
        <f>IF(J22="",D22*M22,D22*J22*K22*L22*M22)</f>
        <v>0.06</v>
      </c>
    </row>
    <row r="23" spans="1:14" s="178" customFormat="1" x14ac:dyDescent="0.3">
      <c r="M23" s="614" t="s">
        <v>547</v>
      </c>
      <c r="N23" s="569">
        <f>SUM(N20:N22)</f>
        <v>26.06</v>
      </c>
    </row>
    <row r="25" spans="1:14" s="178" customFormat="1" x14ac:dyDescent="0.3">
      <c r="A25" s="567" t="s">
        <v>544</v>
      </c>
      <c r="B25" s="567" t="s">
        <v>548</v>
      </c>
      <c r="C25" s="567" t="s">
        <v>549</v>
      </c>
      <c r="D25" s="567" t="s">
        <v>550</v>
      </c>
      <c r="E25" s="567" t="s">
        <v>551</v>
      </c>
      <c r="F25" s="567" t="s">
        <v>28</v>
      </c>
      <c r="G25" s="567" t="s">
        <v>552</v>
      </c>
      <c r="H25" s="567" t="s">
        <v>553</v>
      </c>
      <c r="I25" s="567" t="s">
        <v>547</v>
      </c>
    </row>
    <row r="26" spans="1:14" x14ac:dyDescent="0.3">
      <c r="A26" s="168">
        <v>10</v>
      </c>
      <c r="B26" s="180" t="s">
        <v>650</v>
      </c>
      <c r="C26" s="184" t="s">
        <v>1732</v>
      </c>
      <c r="D26" s="323">
        <v>0.15</v>
      </c>
      <c r="E26" s="168" t="s">
        <v>593</v>
      </c>
      <c r="F26" s="168">
        <v>26</v>
      </c>
      <c r="G26" s="168"/>
      <c r="H26" s="168">
        <v>1</v>
      </c>
      <c r="I26" s="323">
        <f t="shared" ref="I26:I45" si="1">D26*F26*H26</f>
        <v>3.9</v>
      </c>
    </row>
    <row r="27" spans="1:14" x14ac:dyDescent="0.3">
      <c r="A27" s="168">
        <v>20</v>
      </c>
      <c r="B27" s="180" t="s">
        <v>653</v>
      </c>
      <c r="C27" s="184" t="s">
        <v>1731</v>
      </c>
      <c r="D27" s="323">
        <v>5.25</v>
      </c>
      <c r="E27" s="168" t="s">
        <v>627</v>
      </c>
      <c r="F27" s="168">
        <v>6.0000000000000001E-3</v>
      </c>
      <c r="G27" s="168"/>
      <c r="H27" s="168">
        <v>1</v>
      </c>
      <c r="I27" s="323">
        <f t="shared" si="1"/>
        <v>3.15E-2</v>
      </c>
    </row>
    <row r="28" spans="1:14" x14ac:dyDescent="0.3">
      <c r="A28" s="168">
        <v>30</v>
      </c>
      <c r="B28" s="180" t="s">
        <v>557</v>
      </c>
      <c r="C28" s="193" t="s">
        <v>1733</v>
      </c>
      <c r="D28" s="323">
        <v>0.06</v>
      </c>
      <c r="E28" s="168"/>
      <c r="F28" s="168">
        <v>2</v>
      </c>
      <c r="G28" s="168"/>
      <c r="H28" s="168">
        <v>1</v>
      </c>
      <c r="I28" s="323">
        <f t="shared" si="1"/>
        <v>0.12</v>
      </c>
    </row>
    <row r="29" spans="1:14" x14ac:dyDescent="0.3">
      <c r="A29" s="168">
        <v>40</v>
      </c>
      <c r="B29" s="180" t="s">
        <v>557</v>
      </c>
      <c r="C29" s="193" t="s">
        <v>1734</v>
      </c>
      <c r="D29" s="323">
        <v>0.06</v>
      </c>
      <c r="E29" s="168"/>
      <c r="F29" s="168">
        <v>2</v>
      </c>
      <c r="G29" s="168"/>
      <c r="H29" s="168">
        <v>1</v>
      </c>
      <c r="I29" s="323">
        <f t="shared" si="1"/>
        <v>0.12</v>
      </c>
    </row>
    <row r="30" spans="1:14" x14ac:dyDescent="0.3">
      <c r="A30" s="168">
        <v>50</v>
      </c>
      <c r="B30" s="180" t="s">
        <v>1735</v>
      </c>
      <c r="C30" s="193" t="s">
        <v>1736</v>
      </c>
      <c r="D30" s="323">
        <v>0.5</v>
      </c>
      <c r="E30" s="168"/>
      <c r="F30" s="168">
        <v>2</v>
      </c>
      <c r="G30" s="168"/>
      <c r="H30" s="168">
        <v>1</v>
      </c>
      <c r="I30" s="323">
        <f t="shared" si="1"/>
        <v>1</v>
      </c>
      <c r="M30" s="615"/>
    </row>
    <row r="31" spans="1:14" x14ac:dyDescent="0.3">
      <c r="A31" s="168">
        <v>60</v>
      </c>
      <c r="B31" s="180" t="s">
        <v>1737</v>
      </c>
      <c r="C31" s="193" t="s">
        <v>1738</v>
      </c>
      <c r="D31" s="323">
        <v>0.25</v>
      </c>
      <c r="E31" s="168"/>
      <c r="F31" s="168">
        <v>2</v>
      </c>
      <c r="G31" s="168"/>
      <c r="H31" s="168">
        <v>1</v>
      </c>
      <c r="I31" s="323">
        <f t="shared" si="1"/>
        <v>0.5</v>
      </c>
    </row>
    <row r="32" spans="1:14" x14ac:dyDescent="0.3">
      <c r="A32" s="168">
        <v>70</v>
      </c>
      <c r="B32" s="180" t="s">
        <v>557</v>
      </c>
      <c r="C32" s="193" t="s">
        <v>1739</v>
      </c>
      <c r="D32" s="323">
        <v>0.06</v>
      </c>
      <c r="E32" s="168"/>
      <c r="F32" s="168">
        <v>1</v>
      </c>
      <c r="G32" s="168"/>
      <c r="H32" s="168">
        <v>1</v>
      </c>
      <c r="I32" s="323">
        <f t="shared" si="1"/>
        <v>0.06</v>
      </c>
    </row>
    <row r="33" spans="1:16" ht="28.8" x14ac:dyDescent="0.3">
      <c r="A33" s="168">
        <v>80</v>
      </c>
      <c r="B33" s="180" t="s">
        <v>1735</v>
      </c>
      <c r="C33" s="193" t="s">
        <v>1740</v>
      </c>
      <c r="D33" s="323">
        <v>0.5</v>
      </c>
      <c r="E33" s="168"/>
      <c r="F33" s="168">
        <v>1</v>
      </c>
      <c r="G33" s="184" t="s">
        <v>1741</v>
      </c>
      <c r="H33" s="168">
        <v>1.25</v>
      </c>
      <c r="I33" s="323">
        <f t="shared" si="1"/>
        <v>0.625</v>
      </c>
    </row>
    <row r="34" spans="1:16" x14ac:dyDescent="0.3">
      <c r="A34" s="168">
        <v>90</v>
      </c>
      <c r="B34" s="180" t="s">
        <v>1737</v>
      </c>
      <c r="C34" s="193" t="s">
        <v>1742</v>
      </c>
      <c r="D34" s="323">
        <v>0.25</v>
      </c>
      <c r="E34" s="168"/>
      <c r="F34" s="168">
        <v>1</v>
      </c>
      <c r="G34" s="168"/>
      <c r="H34" s="168">
        <v>1</v>
      </c>
      <c r="I34" s="323">
        <f t="shared" si="1"/>
        <v>0.25</v>
      </c>
    </row>
    <row r="35" spans="1:16" x14ac:dyDescent="0.3">
      <c r="A35" s="168">
        <v>100</v>
      </c>
      <c r="B35" s="180" t="s">
        <v>557</v>
      </c>
      <c r="C35" s="193" t="s">
        <v>1743</v>
      </c>
      <c r="D35" s="323">
        <v>0.06</v>
      </c>
      <c r="E35" s="168"/>
      <c r="F35" s="168">
        <v>1</v>
      </c>
      <c r="G35" s="168"/>
      <c r="H35" s="168">
        <v>1</v>
      </c>
      <c r="I35" s="323">
        <f t="shared" si="1"/>
        <v>0.06</v>
      </c>
    </row>
    <row r="36" spans="1:16" ht="28.8" x14ac:dyDescent="0.3">
      <c r="A36" s="168">
        <v>110</v>
      </c>
      <c r="B36" s="180" t="s">
        <v>1735</v>
      </c>
      <c r="C36" s="193" t="s">
        <v>1744</v>
      </c>
      <c r="D36" s="323">
        <v>0.5</v>
      </c>
      <c r="E36" s="168"/>
      <c r="F36" s="168">
        <v>1</v>
      </c>
      <c r="G36" s="184" t="s">
        <v>1741</v>
      </c>
      <c r="H36" s="168">
        <v>1.25</v>
      </c>
      <c r="I36" s="323">
        <f t="shared" si="1"/>
        <v>0.625</v>
      </c>
    </row>
    <row r="37" spans="1:16" x14ac:dyDescent="0.3">
      <c r="A37" s="168">
        <v>120</v>
      </c>
      <c r="B37" s="180" t="s">
        <v>1745</v>
      </c>
      <c r="C37" s="193" t="s">
        <v>1746</v>
      </c>
      <c r="D37" s="323">
        <v>0.13</v>
      </c>
      <c r="E37" s="168"/>
      <c r="F37" s="168">
        <v>1</v>
      </c>
      <c r="G37" s="168"/>
      <c r="H37" s="168">
        <v>1</v>
      </c>
      <c r="I37" s="323">
        <f t="shared" si="1"/>
        <v>0.13</v>
      </c>
    </row>
    <row r="38" spans="1:16" ht="28.8" x14ac:dyDescent="0.3">
      <c r="A38" s="168">
        <v>130</v>
      </c>
      <c r="B38" s="180" t="s">
        <v>1735</v>
      </c>
      <c r="C38" s="193" t="s">
        <v>1747</v>
      </c>
      <c r="D38" s="323">
        <v>0.5</v>
      </c>
      <c r="E38" s="168"/>
      <c r="F38" s="168">
        <v>2</v>
      </c>
      <c r="G38" s="184" t="s">
        <v>1748</v>
      </c>
      <c r="H38" s="168">
        <v>1.5</v>
      </c>
      <c r="I38" s="323">
        <f t="shared" si="1"/>
        <v>1.5</v>
      </c>
    </row>
    <row r="39" spans="1:16" x14ac:dyDescent="0.3">
      <c r="A39" s="168">
        <v>140</v>
      </c>
      <c r="B39" s="180" t="s">
        <v>1737</v>
      </c>
      <c r="C39" s="193" t="s">
        <v>1749</v>
      </c>
      <c r="D39" s="323">
        <v>0.25</v>
      </c>
      <c r="E39" s="168"/>
      <c r="F39" s="168">
        <v>2</v>
      </c>
      <c r="G39" s="168"/>
      <c r="H39" s="168">
        <v>1</v>
      </c>
      <c r="I39" s="323">
        <f t="shared" si="1"/>
        <v>0.5</v>
      </c>
      <c r="P39" s="616"/>
    </row>
    <row r="40" spans="1:16" x14ac:dyDescent="0.3">
      <c r="A40" s="168">
        <v>150</v>
      </c>
      <c r="B40" s="180" t="s">
        <v>760</v>
      </c>
      <c r="C40" s="193" t="s">
        <v>1750</v>
      </c>
      <c r="D40" s="323">
        <v>0.19</v>
      </c>
      <c r="E40" s="168"/>
      <c r="F40" s="168">
        <v>1</v>
      </c>
      <c r="G40" s="168"/>
      <c r="H40" s="168">
        <v>1</v>
      </c>
      <c r="I40" s="323">
        <f t="shared" si="1"/>
        <v>0.19</v>
      </c>
    </row>
    <row r="41" spans="1:16" x14ac:dyDescent="0.3">
      <c r="A41" s="168">
        <v>160</v>
      </c>
      <c r="B41" s="180" t="s">
        <v>557</v>
      </c>
      <c r="C41" s="193" t="s">
        <v>1751</v>
      </c>
      <c r="D41" s="323">
        <v>0.06</v>
      </c>
      <c r="E41" s="168"/>
      <c r="F41" s="168">
        <v>1</v>
      </c>
      <c r="G41" s="168"/>
      <c r="H41" s="168">
        <v>1</v>
      </c>
      <c r="I41" s="323">
        <f t="shared" si="1"/>
        <v>0.06</v>
      </c>
    </row>
    <row r="42" spans="1:16" x14ac:dyDescent="0.3">
      <c r="A42" s="168">
        <v>170</v>
      </c>
      <c r="B42" s="180" t="s">
        <v>1752</v>
      </c>
      <c r="C42" s="193" t="s">
        <v>1753</v>
      </c>
      <c r="D42" s="323">
        <v>1.5</v>
      </c>
      <c r="E42" s="168"/>
      <c r="F42" s="168">
        <v>2</v>
      </c>
      <c r="G42" s="168"/>
      <c r="H42" s="168">
        <v>1</v>
      </c>
      <c r="I42" s="323">
        <f t="shared" si="1"/>
        <v>3</v>
      </c>
    </row>
    <row r="43" spans="1:16" x14ac:dyDescent="0.3">
      <c r="A43" s="168">
        <v>180</v>
      </c>
      <c r="B43" s="180" t="s">
        <v>1745</v>
      </c>
      <c r="C43" s="193" t="s">
        <v>1754</v>
      </c>
      <c r="D43" s="323">
        <v>0.13</v>
      </c>
      <c r="E43" s="168"/>
      <c r="F43" s="168">
        <v>1</v>
      </c>
      <c r="G43" s="168"/>
      <c r="H43" s="168">
        <v>1</v>
      </c>
      <c r="I43" s="323">
        <f t="shared" si="1"/>
        <v>0.13</v>
      </c>
    </row>
    <row r="44" spans="1:16" x14ac:dyDescent="0.3">
      <c r="A44" s="168">
        <v>190</v>
      </c>
      <c r="B44" s="180" t="s">
        <v>760</v>
      </c>
      <c r="C44" s="193" t="s">
        <v>1755</v>
      </c>
      <c r="D44" s="323">
        <v>0.19</v>
      </c>
      <c r="E44" s="168"/>
      <c r="F44" s="168">
        <v>1</v>
      </c>
      <c r="G44" s="168"/>
      <c r="H44" s="168">
        <v>1</v>
      </c>
      <c r="I44" s="323">
        <f t="shared" si="1"/>
        <v>0.19</v>
      </c>
    </row>
    <row r="45" spans="1:16" x14ac:dyDescent="0.3">
      <c r="A45" s="168">
        <v>200</v>
      </c>
      <c r="B45" s="180" t="s">
        <v>1756</v>
      </c>
      <c r="C45" s="193" t="s">
        <v>1757</v>
      </c>
      <c r="D45" s="323">
        <v>0.06</v>
      </c>
      <c r="E45" s="168"/>
      <c r="F45" s="168">
        <v>6</v>
      </c>
      <c r="G45" s="168"/>
      <c r="H45" s="168">
        <v>1</v>
      </c>
      <c r="I45" s="323">
        <f t="shared" si="1"/>
        <v>0.36</v>
      </c>
    </row>
    <row r="46" spans="1:16" s="178" customFormat="1" x14ac:dyDescent="0.3">
      <c r="H46" s="614" t="s">
        <v>547</v>
      </c>
      <c r="I46" s="617">
        <f>SUM(I26:I45)</f>
        <v>13.351499999999998</v>
      </c>
    </row>
    <row r="48" spans="1:16" s="178" customFormat="1" x14ac:dyDescent="0.3">
      <c r="A48" s="567" t="s">
        <v>544</v>
      </c>
      <c r="B48" s="567" t="s">
        <v>566</v>
      </c>
      <c r="C48" s="567" t="s">
        <v>549</v>
      </c>
      <c r="D48" s="567" t="s">
        <v>550</v>
      </c>
      <c r="E48" s="567" t="s">
        <v>567</v>
      </c>
      <c r="F48" s="567" t="s">
        <v>568</v>
      </c>
      <c r="G48" s="567" t="s">
        <v>569</v>
      </c>
      <c r="H48" s="567" t="s">
        <v>570</v>
      </c>
      <c r="I48" s="567" t="s">
        <v>28</v>
      </c>
      <c r="J48" s="567" t="s">
        <v>547</v>
      </c>
    </row>
    <row r="49" spans="1:10" x14ac:dyDescent="0.3">
      <c r="A49" s="168">
        <v>10</v>
      </c>
      <c r="B49" s="225" t="s">
        <v>684</v>
      </c>
      <c r="C49" s="184" t="s">
        <v>1758</v>
      </c>
      <c r="D49" s="168">
        <v>0.05</v>
      </c>
      <c r="E49" s="168">
        <v>6</v>
      </c>
      <c r="F49" s="245" t="s">
        <v>573</v>
      </c>
      <c r="G49" s="168">
        <v>25</v>
      </c>
      <c r="H49" s="171" t="s">
        <v>573</v>
      </c>
      <c r="I49" s="327">
        <v>2</v>
      </c>
      <c r="J49" s="323">
        <f>D49*I49</f>
        <v>0.1</v>
      </c>
    </row>
    <row r="50" spans="1:10" x14ac:dyDescent="0.3">
      <c r="A50" s="168">
        <v>20</v>
      </c>
      <c r="B50" s="225" t="s">
        <v>684</v>
      </c>
      <c r="C50" s="184" t="s">
        <v>1759</v>
      </c>
      <c r="D50" s="168">
        <v>0.08</v>
      </c>
      <c r="E50" s="168">
        <v>6</v>
      </c>
      <c r="F50" s="245" t="s">
        <v>573</v>
      </c>
      <c r="G50" s="168">
        <v>35</v>
      </c>
      <c r="H50" s="171" t="s">
        <v>573</v>
      </c>
      <c r="I50" s="327">
        <v>1</v>
      </c>
      <c r="J50" s="323">
        <f t="shared" ref="J50:J59" si="2">D50*I50</f>
        <v>0.08</v>
      </c>
    </row>
    <row r="51" spans="1:10" x14ac:dyDescent="0.3">
      <c r="A51" s="168">
        <v>30</v>
      </c>
      <c r="B51" s="225" t="s">
        <v>684</v>
      </c>
      <c r="C51" s="184" t="s">
        <v>1760</v>
      </c>
      <c r="D51" s="168">
        <v>0.08</v>
      </c>
      <c r="E51" s="168">
        <v>6</v>
      </c>
      <c r="F51" s="245" t="s">
        <v>573</v>
      </c>
      <c r="G51" s="168">
        <v>35</v>
      </c>
      <c r="H51" s="171" t="s">
        <v>573</v>
      </c>
      <c r="I51" s="327">
        <v>2</v>
      </c>
      <c r="J51" s="323">
        <f t="shared" si="2"/>
        <v>0.16</v>
      </c>
    </row>
    <row r="52" spans="1:10" x14ac:dyDescent="0.3">
      <c r="A52" s="168">
        <v>40</v>
      </c>
      <c r="B52" s="225" t="s">
        <v>684</v>
      </c>
      <c r="C52" s="184" t="s">
        <v>1761</v>
      </c>
      <c r="D52" s="168">
        <v>0.04</v>
      </c>
      <c r="E52" s="168">
        <v>6</v>
      </c>
      <c r="F52" s="245" t="s">
        <v>573</v>
      </c>
      <c r="G52" s="168">
        <v>20</v>
      </c>
      <c r="H52" s="171" t="s">
        <v>573</v>
      </c>
      <c r="I52" s="327">
        <v>1</v>
      </c>
      <c r="J52" s="323">
        <f t="shared" si="2"/>
        <v>0.04</v>
      </c>
    </row>
    <row r="53" spans="1:10" x14ac:dyDescent="0.3">
      <c r="A53" s="168">
        <v>50</v>
      </c>
      <c r="B53" s="244" t="s">
        <v>574</v>
      </c>
      <c r="C53" s="184" t="s">
        <v>1762</v>
      </c>
      <c r="D53" s="168">
        <v>0.01</v>
      </c>
      <c r="E53" s="168">
        <v>6</v>
      </c>
      <c r="F53" s="245" t="s">
        <v>573</v>
      </c>
      <c r="G53" s="168"/>
      <c r="H53" s="171"/>
      <c r="I53" s="327">
        <v>2</v>
      </c>
      <c r="J53" s="323">
        <f t="shared" si="2"/>
        <v>0.02</v>
      </c>
    </row>
    <row r="54" spans="1:10" x14ac:dyDescent="0.3">
      <c r="A54" s="168">
        <v>60</v>
      </c>
      <c r="B54" s="244" t="s">
        <v>574</v>
      </c>
      <c r="C54" s="184" t="s">
        <v>1743</v>
      </c>
      <c r="D54" s="168">
        <v>0.01</v>
      </c>
      <c r="E54" s="168">
        <v>6</v>
      </c>
      <c r="F54" s="245" t="s">
        <v>573</v>
      </c>
      <c r="G54" s="168"/>
      <c r="H54" s="171"/>
      <c r="I54" s="327">
        <v>1</v>
      </c>
      <c r="J54" s="323">
        <f t="shared" si="2"/>
        <v>0.01</v>
      </c>
    </row>
    <row r="55" spans="1:10" x14ac:dyDescent="0.3">
      <c r="A55" s="168">
        <v>70</v>
      </c>
      <c r="B55" s="244" t="s">
        <v>618</v>
      </c>
      <c r="C55" s="184" t="s">
        <v>1760</v>
      </c>
      <c r="D55" s="168">
        <v>0.03</v>
      </c>
      <c r="E55" s="168">
        <v>6</v>
      </c>
      <c r="F55" s="245" t="s">
        <v>573</v>
      </c>
      <c r="G55" s="168"/>
      <c r="H55" s="171"/>
      <c r="I55" s="327">
        <v>2</v>
      </c>
      <c r="J55" s="323">
        <f t="shared" si="2"/>
        <v>0.06</v>
      </c>
    </row>
    <row r="56" spans="1:10" x14ac:dyDescent="0.3">
      <c r="A56" s="168">
        <v>80</v>
      </c>
      <c r="B56" s="244" t="s">
        <v>618</v>
      </c>
      <c r="C56" s="184" t="s">
        <v>1763</v>
      </c>
      <c r="D56" s="168">
        <v>0.03</v>
      </c>
      <c r="E56" s="168">
        <v>6</v>
      </c>
      <c r="F56" s="245" t="s">
        <v>573</v>
      </c>
      <c r="G56" s="168"/>
      <c r="H56" s="171"/>
      <c r="I56" s="327">
        <v>1</v>
      </c>
      <c r="J56" s="323">
        <f t="shared" si="2"/>
        <v>0.03</v>
      </c>
    </row>
    <row r="57" spans="1:10" x14ac:dyDescent="0.3">
      <c r="A57" s="168">
        <v>90</v>
      </c>
      <c r="B57" s="244" t="s">
        <v>618</v>
      </c>
      <c r="C57" s="184" t="s">
        <v>1764</v>
      </c>
      <c r="D57" s="168">
        <v>0.03</v>
      </c>
      <c r="E57" s="168">
        <v>6</v>
      </c>
      <c r="F57" s="245" t="s">
        <v>573</v>
      </c>
      <c r="G57" s="168"/>
      <c r="H57" s="171"/>
      <c r="I57" s="327">
        <v>2</v>
      </c>
      <c r="J57" s="323">
        <f t="shared" si="2"/>
        <v>0.06</v>
      </c>
    </row>
    <row r="58" spans="1:10" x14ac:dyDescent="0.3">
      <c r="A58" s="168">
        <v>100</v>
      </c>
      <c r="B58" s="244" t="s">
        <v>618</v>
      </c>
      <c r="C58" s="184" t="s">
        <v>1765</v>
      </c>
      <c r="D58" s="168">
        <v>0.04</v>
      </c>
      <c r="E58" s="168">
        <v>8</v>
      </c>
      <c r="F58" s="245" t="s">
        <v>573</v>
      </c>
      <c r="G58" s="168"/>
      <c r="H58" s="171"/>
      <c r="I58" s="327">
        <v>2</v>
      </c>
      <c r="J58" s="323">
        <f t="shared" si="2"/>
        <v>0.08</v>
      </c>
    </row>
    <row r="59" spans="1:10" x14ac:dyDescent="0.3">
      <c r="A59" s="168">
        <v>110</v>
      </c>
      <c r="B59" s="225" t="s">
        <v>689</v>
      </c>
      <c r="C59" s="184" t="s">
        <v>1766</v>
      </c>
      <c r="D59" s="323">
        <v>0.04</v>
      </c>
      <c r="E59" s="168"/>
      <c r="F59" s="245"/>
      <c r="G59" s="168"/>
      <c r="H59" s="171"/>
      <c r="I59" s="327">
        <v>6</v>
      </c>
      <c r="J59" s="323">
        <f t="shared" si="2"/>
        <v>0.24</v>
      </c>
    </row>
    <row r="60" spans="1:10" s="178" customFormat="1" x14ac:dyDescent="0.3">
      <c r="B60" s="161"/>
      <c r="I60" s="614" t="s">
        <v>547</v>
      </c>
      <c r="J60" s="617">
        <f>SUM(J49:J59)</f>
        <v>0.88</v>
      </c>
    </row>
    <row r="61" spans="1:10" x14ac:dyDescent="0.3">
      <c r="H61" s="326"/>
      <c r="I61" s="325"/>
    </row>
    <row r="62" spans="1:10" s="178" customFormat="1" x14ac:dyDescent="0.3">
      <c r="A62" s="567" t="s">
        <v>544</v>
      </c>
      <c r="B62" s="567" t="s">
        <v>6</v>
      </c>
      <c r="C62" s="567" t="s">
        <v>549</v>
      </c>
      <c r="D62" s="567" t="s">
        <v>550</v>
      </c>
      <c r="E62" s="567" t="s">
        <v>551</v>
      </c>
      <c r="F62" s="567" t="s">
        <v>28</v>
      </c>
      <c r="G62" s="567" t="s">
        <v>691</v>
      </c>
      <c r="H62" s="567" t="s">
        <v>736</v>
      </c>
      <c r="I62" s="567" t="s">
        <v>547</v>
      </c>
    </row>
    <row r="63" spans="1:10" x14ac:dyDescent="0.3">
      <c r="A63" s="168">
        <v>10</v>
      </c>
      <c r="B63" s="168" t="s">
        <v>1767</v>
      </c>
      <c r="C63" s="168" t="s">
        <v>1732</v>
      </c>
      <c r="D63" s="323">
        <v>500</v>
      </c>
      <c r="E63" s="168" t="s">
        <v>695</v>
      </c>
      <c r="F63" s="168">
        <v>8</v>
      </c>
      <c r="G63" s="168">
        <v>3000</v>
      </c>
      <c r="H63" s="168">
        <v>1</v>
      </c>
      <c r="I63" s="322">
        <f>D63*F63/G63*H63</f>
        <v>1.3333333333333333</v>
      </c>
    </row>
    <row r="64" spans="1:10" x14ac:dyDescent="0.3">
      <c r="A64" s="178"/>
      <c r="B64" s="178"/>
      <c r="C64" s="178"/>
      <c r="D64" s="178"/>
      <c r="E64" s="178"/>
      <c r="F64" s="178"/>
      <c r="G64" s="178"/>
      <c r="H64" s="568" t="s">
        <v>547</v>
      </c>
      <c r="I64" s="617">
        <f>SUM(I63:I63)</f>
        <v>1.3333333333333333</v>
      </c>
    </row>
    <row r="65" spans="1:9" s="178" customFormat="1" x14ac:dyDescent="0.3">
      <c r="A65" s="161"/>
      <c r="B65" s="161"/>
      <c r="C65" s="161"/>
      <c r="D65" s="161"/>
      <c r="E65" s="161"/>
      <c r="F65" s="161"/>
      <c r="G65" s="161"/>
      <c r="H65" s="161"/>
      <c r="I65" s="161"/>
    </row>
  </sheetData>
  <pageMargins left="0.5" right="0.5" top="0.75" bottom="0.75" header="0.3" footer="0.3"/>
  <pageSetup paperSize="9" scale="49" orientation="landscape" r:id="rId1"/>
  <rowBreaks count="1" manualBreakCount="1">
    <brk id="46" max="16383" man="1"/>
  </rowBreak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96"/>
  <sheetViews>
    <sheetView showGridLines="0" workbookViewId="0"/>
  </sheetViews>
  <sheetFormatPr defaultColWidth="11.44140625" defaultRowHeight="14.4" x14ac:dyDescent="0.3"/>
  <cols>
    <col min="2" max="2" width="26.44140625" customWidth="1"/>
    <col min="3" max="3" width="19.44140625" customWidth="1"/>
    <col min="7" max="7" width="18.21875" customWidth="1"/>
    <col min="9" max="9" width="22.88671875" customWidth="1"/>
    <col min="13" max="13" width="14.8867187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N11+I16</f>
        <v>0.15302449653333333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12</v>
      </c>
    </row>
    <row r="3" spans="1:14" x14ac:dyDescent="0.3">
      <c r="A3" s="197" t="s">
        <v>534</v>
      </c>
      <c r="B3" t="s">
        <v>619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6" t="s">
        <v>604</v>
      </c>
      <c r="D4" s="197" t="s">
        <v>541</v>
      </c>
      <c r="J4" s="197" t="s">
        <v>538</v>
      </c>
      <c r="M4" s="197" t="s">
        <v>539</v>
      </c>
      <c r="N4" s="164">
        <f>N2*N1</f>
        <v>1.8362939584</v>
      </c>
    </row>
    <row r="5" spans="1:14" x14ac:dyDescent="0.3">
      <c r="A5" s="197" t="s">
        <v>537</v>
      </c>
      <c r="B5" s="199" t="s">
        <v>52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200" t="s">
        <v>542</v>
      </c>
      <c r="B7" s="161" t="s">
        <v>605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x14ac:dyDescent="0.3">
      <c r="A10" s="232">
        <v>10</v>
      </c>
      <c r="B10" s="225" t="s">
        <v>606</v>
      </c>
      <c r="C10" s="232" t="s">
        <v>607</v>
      </c>
      <c r="D10" s="233">
        <v>2.25</v>
      </c>
      <c r="E10" s="232">
        <v>6</v>
      </c>
      <c r="F10" s="234" t="s">
        <v>573</v>
      </c>
      <c r="G10" s="232"/>
      <c r="H10" s="235"/>
      <c r="I10" s="236" t="s">
        <v>608</v>
      </c>
      <c r="J10" s="237">
        <f>3.14*0.006^2</f>
        <v>1.1304E-4</v>
      </c>
      <c r="K10" s="237">
        <v>8.0000000000000002E-3</v>
      </c>
      <c r="L10" s="238">
        <v>7810</v>
      </c>
      <c r="M10" s="235">
        <v>1</v>
      </c>
      <c r="N10" s="239">
        <f>K10*L10*J10*D10</f>
        <v>1.5891163199999999E-2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240"/>
      <c r="J11" s="178"/>
      <c r="K11" s="178"/>
      <c r="L11" s="178"/>
      <c r="M11" s="212" t="s">
        <v>547</v>
      </c>
      <c r="N11" s="213">
        <f>N10</f>
        <v>1.5891163199999999E-2</v>
      </c>
    </row>
    <row r="13" spans="1:14" x14ac:dyDescent="0.3">
      <c r="A13" s="203" t="s">
        <v>544</v>
      </c>
      <c r="B13" s="203" t="s">
        <v>548</v>
      </c>
      <c r="C13" s="203" t="s">
        <v>549</v>
      </c>
      <c r="D13" s="203" t="s">
        <v>550</v>
      </c>
      <c r="E13" s="203" t="s">
        <v>551</v>
      </c>
      <c r="F13" s="203" t="s">
        <v>28</v>
      </c>
      <c r="G13" s="203" t="s">
        <v>552</v>
      </c>
      <c r="H13" s="203" t="s">
        <v>553</v>
      </c>
      <c r="I13" s="203" t="s">
        <v>547</v>
      </c>
      <c r="J13" s="178"/>
      <c r="K13" s="178"/>
      <c r="L13" s="178"/>
      <c r="M13" s="178"/>
      <c r="N13" s="178"/>
    </row>
    <row r="14" spans="1:14" ht="28.8" x14ac:dyDescent="0.3">
      <c r="A14" s="179">
        <v>10</v>
      </c>
      <c r="B14" s="180" t="s">
        <v>589</v>
      </c>
      <c r="C14" s="179"/>
      <c r="D14" s="246">
        <v>1.3</v>
      </c>
      <c r="E14" s="180" t="s">
        <v>556</v>
      </c>
      <c r="F14" s="179">
        <v>1</v>
      </c>
      <c r="G14" s="267" t="s">
        <v>2938</v>
      </c>
      <c r="H14" s="179">
        <f>1/12</f>
        <v>8.3333333333333329E-2</v>
      </c>
      <c r="I14" s="214">
        <f>D14*H14</f>
        <v>0.10833333333333334</v>
      </c>
    </row>
    <row r="15" spans="1:14" x14ac:dyDescent="0.3">
      <c r="A15" s="168">
        <v>20</v>
      </c>
      <c r="B15" s="180" t="s">
        <v>609</v>
      </c>
      <c r="C15" s="183"/>
      <c r="D15" s="241">
        <v>0.04</v>
      </c>
      <c r="E15" s="183" t="s">
        <v>610</v>
      </c>
      <c r="F15" s="183">
        <v>0.24</v>
      </c>
      <c r="G15" s="180" t="s">
        <v>611</v>
      </c>
      <c r="H15" s="179">
        <v>3</v>
      </c>
      <c r="I15" s="170">
        <f>H15*F15*D15</f>
        <v>2.8799999999999999E-2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216" t="s">
        <v>547</v>
      </c>
      <c r="I16" s="213">
        <f>I15+I14</f>
        <v>0.13713333333333333</v>
      </c>
      <c r="J16" s="178"/>
      <c r="K16" s="178"/>
      <c r="L16" s="178"/>
      <c r="M16" s="178"/>
      <c r="N16" s="178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  <row r="195" spans="1:8" x14ac:dyDescent="0.3">
      <c r="A195" s="161"/>
      <c r="B195" s="161"/>
      <c r="C195" s="161"/>
      <c r="D195" s="161"/>
      <c r="E195" s="161"/>
      <c r="F195" s="161"/>
      <c r="G195" s="161"/>
      <c r="H195" s="161"/>
    </row>
    <row r="196" spans="1:8" x14ac:dyDescent="0.3">
      <c r="A196" s="161"/>
      <c r="B196" s="161"/>
      <c r="C196" s="161"/>
      <c r="D196" s="161"/>
      <c r="E196" s="161"/>
      <c r="F196" s="161"/>
      <c r="G196" s="161"/>
      <c r="H196" s="161"/>
    </row>
  </sheetData>
  <pageMargins left="0.7" right="0.7" top="0.75" bottom="0.75" header="0.3" footer="0.3"/>
  <pageSetup paperSize="9" scale="66" fitToHeight="0" orientation="landscape" r:id="rId1"/>
</worksheet>
</file>

<file path=xl/worksheets/sheet1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7.6640625" style="161" customWidth="1"/>
    <col min="7" max="7" width="21.21875" style="161" customWidth="1"/>
    <col min="8" max="8" width="11.5546875" style="161" customWidth="1"/>
    <col min="9" max="9" width="15.5546875" style="161" customWidth="1"/>
    <col min="10" max="10" width="11.21875" style="161" customWidth="1"/>
    <col min="11" max="11" width="8.77734375" style="161" customWidth="1"/>
    <col min="12" max="12" width="9.44140625" style="161" customWidth="1"/>
    <col min="13" max="13" width="14.44140625" style="161" customWidth="1"/>
    <col min="14" max="14" width="11.8867187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02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N11+I20</f>
        <v>5.1108119999999992</v>
      </c>
    </row>
    <row r="2" spans="1:14" x14ac:dyDescent="0.3">
      <c r="A2" s="602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602" t="s">
        <v>534</v>
      </c>
      <c r="B3" s="161" t="s">
        <v>1719</v>
      </c>
      <c r="D3" s="570" t="s">
        <v>538</v>
      </c>
      <c r="J3" s="570" t="s">
        <v>536</v>
      </c>
    </row>
    <row r="4" spans="1:14" x14ac:dyDescent="0.3">
      <c r="A4" s="602" t="s">
        <v>545</v>
      </c>
      <c r="B4" s="166" t="s">
        <v>1721</v>
      </c>
      <c r="D4" s="570" t="s">
        <v>541</v>
      </c>
      <c r="J4" s="570" t="s">
        <v>538</v>
      </c>
      <c r="M4" s="570" t="s">
        <v>539</v>
      </c>
      <c r="N4" s="336">
        <f>N1*N2</f>
        <v>10.221623999999998</v>
      </c>
    </row>
    <row r="5" spans="1:14" x14ac:dyDescent="0.3">
      <c r="A5" s="602" t="s">
        <v>537</v>
      </c>
      <c r="B5" s="166" t="s">
        <v>248</v>
      </c>
      <c r="J5" s="570" t="s">
        <v>541</v>
      </c>
    </row>
    <row r="6" spans="1:14" x14ac:dyDescent="0.3">
      <c r="A6" s="602" t="s">
        <v>540</v>
      </c>
      <c r="B6" s="161" t="s">
        <v>36</v>
      </c>
    </row>
    <row r="7" spans="1:14" x14ac:dyDescent="0.3">
      <c r="A7" s="605" t="s">
        <v>542</v>
      </c>
    </row>
    <row r="9" spans="1:14" s="1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s="311" customFormat="1" ht="28.8" x14ac:dyDescent="0.3">
      <c r="A10" s="183">
        <v>10</v>
      </c>
      <c r="B10" s="190" t="s">
        <v>606</v>
      </c>
      <c r="C10" s="183" t="s">
        <v>607</v>
      </c>
      <c r="D10" s="241">
        <v>2.25</v>
      </c>
      <c r="E10" s="183">
        <v>3.2000000000000001E-2</v>
      </c>
      <c r="F10" s="183" t="s">
        <v>644</v>
      </c>
      <c r="G10" s="183">
        <v>2.5000000000000001E-2</v>
      </c>
      <c r="H10" s="204" t="s">
        <v>644</v>
      </c>
      <c r="I10" s="269" t="s">
        <v>1768</v>
      </c>
      <c r="J10" s="618">
        <f>E10*G10</f>
        <v>8.0000000000000004E-4</v>
      </c>
      <c r="K10" s="207">
        <v>1.9E-2</v>
      </c>
      <c r="L10" s="204">
        <v>7860</v>
      </c>
      <c r="M10" s="183">
        <v>1</v>
      </c>
      <c r="N10" s="385">
        <f>IF(J10="",D10*M10,D10*J10*K10*L10*M10)</f>
        <v>0.26881200000000005</v>
      </c>
    </row>
    <row r="11" spans="1:14" s="178" customFormat="1" x14ac:dyDescent="0.3">
      <c r="M11" s="574" t="s">
        <v>547</v>
      </c>
      <c r="N11" s="619">
        <f>SUM(N10:N10)</f>
        <v>0.26881200000000005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ht="43.2" x14ac:dyDescent="0.3">
      <c r="A14" s="168">
        <v>10</v>
      </c>
      <c r="B14" s="180" t="s">
        <v>589</v>
      </c>
      <c r="C14" s="193"/>
      <c r="D14" s="323">
        <v>1.3</v>
      </c>
      <c r="E14" s="168"/>
      <c r="F14" s="168">
        <v>1</v>
      </c>
      <c r="G14" s="168"/>
      <c r="H14" s="168"/>
      <c r="I14" s="323">
        <f>IF('FR 05001'!$H14&lt;&gt;"",'FR 05001'!$D14*'FR 05001'!$F14*'FR 05001'!$H14,'FR 05001'!$D14*'FR 05001'!$F14)</f>
        <v>1.3</v>
      </c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5.9</v>
      </c>
      <c r="G15" s="168" t="s">
        <v>598</v>
      </c>
      <c r="H15" s="168">
        <v>3</v>
      </c>
      <c r="I15" s="323">
        <f>IF('FR 05001'!$H15&lt;&gt;"",'FR 05001'!$D15*'FR 05001'!$F15*'FR 05001'!$H15,'FR 05001'!$D15*'FR 05001'!$F15)</f>
        <v>0.70800000000000007</v>
      </c>
    </row>
    <row r="16" spans="1:14" ht="28.8" x14ac:dyDescent="0.3">
      <c r="A16" s="168">
        <v>30</v>
      </c>
      <c r="B16" s="180" t="s">
        <v>785</v>
      </c>
      <c r="C16" s="184"/>
      <c r="D16" s="243">
        <v>0.65</v>
      </c>
      <c r="E16" s="180" t="s">
        <v>556</v>
      </c>
      <c r="F16" s="168">
        <v>1</v>
      </c>
      <c r="G16" s="168"/>
      <c r="H16" s="168"/>
      <c r="I16" s="323">
        <f>IF('FR 05001'!$H16&lt;&gt;"",'FR 05001'!$D16*'FR 05001'!$F16*'FR 05001'!$H16,'FR 05001'!$D16*'FR 05001'!$F16)</f>
        <v>0.65</v>
      </c>
    </row>
    <row r="17" spans="1:11" ht="28.8" x14ac:dyDescent="0.3">
      <c r="A17" s="168">
        <v>40</v>
      </c>
      <c r="B17" s="180" t="s">
        <v>609</v>
      </c>
      <c r="C17" s="193" t="s">
        <v>1770</v>
      </c>
      <c r="D17" s="323">
        <v>0.04</v>
      </c>
      <c r="E17" s="168" t="s">
        <v>610</v>
      </c>
      <c r="F17" s="168">
        <v>4.2</v>
      </c>
      <c r="G17" s="168" t="s">
        <v>598</v>
      </c>
      <c r="H17" s="168">
        <v>3</v>
      </c>
      <c r="I17" s="323">
        <f>IF('FR 05001'!$H17&lt;&gt;"",'FR 05001'!$D17*'FR 05001'!$F17*'FR 05001'!$H17,'FR 05001'!$D17*'FR 05001'!$F17)</f>
        <v>0.504</v>
      </c>
    </row>
    <row r="18" spans="1:11" ht="28.8" x14ac:dyDescent="0.3">
      <c r="A18" s="168">
        <v>50</v>
      </c>
      <c r="B18" s="180" t="s">
        <v>791</v>
      </c>
      <c r="C18" s="193" t="s">
        <v>1771</v>
      </c>
      <c r="D18" s="323">
        <v>0.35</v>
      </c>
      <c r="E18" s="168" t="s">
        <v>843</v>
      </c>
      <c r="F18" s="168">
        <v>4</v>
      </c>
      <c r="G18" s="168"/>
      <c r="H18" s="168"/>
      <c r="I18" s="323">
        <f>IF('FR 05001'!$H18&lt;&gt;"",'FR 05001'!$D18*'FR 05001'!$F18*'FR 05001'!$H18,'FR 05001'!$D18*'FR 05001'!$F18)</f>
        <v>1.4</v>
      </c>
    </row>
    <row r="19" spans="1:11" ht="28.8" x14ac:dyDescent="0.3">
      <c r="A19" s="168">
        <v>60</v>
      </c>
      <c r="B19" s="180" t="s">
        <v>1772</v>
      </c>
      <c r="C19" s="193"/>
      <c r="D19" s="323">
        <v>0.1</v>
      </c>
      <c r="E19" s="168" t="s">
        <v>593</v>
      </c>
      <c r="F19" s="168">
        <v>2.8</v>
      </c>
      <c r="G19" s="168"/>
      <c r="H19" s="168"/>
      <c r="I19" s="323">
        <f>IF('FR 05001'!$H19&lt;&gt;"",'FR 05001'!$D19*'FR 05001'!$F19*'FR 05001'!$H19,'FR 05001'!$D19*'FR 05001'!$F19)</f>
        <v>0.27999999999999997</v>
      </c>
    </row>
    <row r="20" spans="1:11" s="178" customFormat="1" x14ac:dyDescent="0.3">
      <c r="H20" s="620" t="s">
        <v>547</v>
      </c>
      <c r="I20" s="619">
        <f>SUM(I14:I19)</f>
        <v>4.8419999999999996</v>
      </c>
    </row>
    <row r="27" spans="1:11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2" spans="1:11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</row>
  </sheetData>
  <pageMargins left="0.5" right="0.5" top="0.75" bottom="0.75" header="0.3" footer="0.3"/>
  <pageSetup paperSize="9" scale="72" orientation="landscape" r:id="rId1"/>
</worksheet>
</file>

<file path=xl/worksheets/sheet1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3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0.21875" style="161" customWidth="1"/>
    <col min="9" max="9" width="15.5546875" style="161" bestFit="1" customWidth="1"/>
    <col min="10" max="10" width="14" style="161" bestFit="1" customWidth="1"/>
    <col min="11" max="11" width="10.44140625" style="161" bestFit="1" customWidth="1"/>
    <col min="12" max="12" width="11.33203125" style="161" bestFit="1" customWidth="1"/>
    <col min="13" max="13" width="14.5546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N12+I21+I26</f>
        <v>4.2129414853547136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1719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1722</v>
      </c>
      <c r="D4" s="570" t="s">
        <v>541</v>
      </c>
      <c r="J4" s="570" t="s">
        <v>538</v>
      </c>
      <c r="M4" s="570" t="s">
        <v>539</v>
      </c>
      <c r="N4" s="336">
        <f>N1*N2</f>
        <v>4.2129414853547136</v>
      </c>
    </row>
    <row r="5" spans="1:14" x14ac:dyDescent="0.3">
      <c r="A5" s="570" t="s">
        <v>537</v>
      </c>
      <c r="B5" s="166" t="s">
        <v>249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432" customFormat="1" ht="30.6" customHeight="1" x14ac:dyDescent="0.3">
      <c r="A10" s="621">
        <v>10</v>
      </c>
      <c r="B10" s="190" t="s">
        <v>606</v>
      </c>
      <c r="C10" s="621"/>
      <c r="D10" s="241">
        <v>2.25</v>
      </c>
      <c r="E10" s="621">
        <v>1.4999999999999999E-2</v>
      </c>
      <c r="F10" s="621" t="s">
        <v>644</v>
      </c>
      <c r="G10" s="621">
        <v>1.2E-2</v>
      </c>
      <c r="H10" s="621" t="s">
        <v>644</v>
      </c>
      <c r="I10" s="622" t="s">
        <v>1773</v>
      </c>
      <c r="J10" s="621">
        <f>(E10*E10-G10*G10)*PI()/4</f>
        <v>6.3617251235193305E-5</v>
      </c>
      <c r="K10" s="621">
        <v>5.7000000000000002E-2</v>
      </c>
      <c r="L10" s="204">
        <v>7860</v>
      </c>
      <c r="M10" s="621">
        <v>1</v>
      </c>
      <c r="N10" s="385">
        <f>IF(J10="",D10*M10,D10*J10*K10*L10*M10)</f>
        <v>6.4129052021380445E-2</v>
      </c>
    </row>
    <row r="11" spans="1:14" s="311" customFormat="1" ht="28.8" x14ac:dyDescent="0.3">
      <c r="A11" s="183">
        <v>20</v>
      </c>
      <c r="B11" s="190" t="s">
        <v>606</v>
      </c>
      <c r="C11" s="183"/>
      <c r="D11" s="241">
        <v>2.25</v>
      </c>
      <c r="E11" s="183">
        <v>6.5000000000000002E-2</v>
      </c>
      <c r="F11" s="183" t="s">
        <v>644</v>
      </c>
      <c r="G11" s="183">
        <v>2.1999999999999999E-2</v>
      </c>
      <c r="H11" s="204" t="s">
        <v>644</v>
      </c>
      <c r="I11" s="269" t="s">
        <v>1774</v>
      </c>
      <c r="J11" s="618">
        <f>E11*G11</f>
        <v>1.4300000000000001E-3</v>
      </c>
      <c r="K11" s="207">
        <v>2E-3</v>
      </c>
      <c r="L11" s="204">
        <v>7860</v>
      </c>
      <c r="M11" s="621">
        <v>1</v>
      </c>
      <c r="N11" s="385">
        <f>IF(J11="",D11*M11,D11*J11*K11*L11*M11)</f>
        <v>5.0579100000000009E-2</v>
      </c>
    </row>
    <row r="12" spans="1:14" s="178" customFormat="1" x14ac:dyDescent="0.3">
      <c r="M12" s="620" t="s">
        <v>547</v>
      </c>
      <c r="N12" s="619">
        <f>SUM(N10:N11)</f>
        <v>0.11470815202138046</v>
      </c>
    </row>
    <row r="14" spans="1:14" s="178" customFormat="1" x14ac:dyDescent="0.3">
      <c r="A14" s="572" t="s">
        <v>544</v>
      </c>
      <c r="B14" s="572" t="s">
        <v>548</v>
      </c>
      <c r="C14" s="572" t="s">
        <v>549</v>
      </c>
      <c r="D14" s="572" t="s">
        <v>550</v>
      </c>
      <c r="E14" s="572" t="s">
        <v>551</v>
      </c>
      <c r="F14" s="572" t="s">
        <v>28</v>
      </c>
      <c r="G14" s="572" t="s">
        <v>552</v>
      </c>
      <c r="H14" s="572" t="s">
        <v>553</v>
      </c>
      <c r="I14" s="572" t="s">
        <v>547</v>
      </c>
    </row>
    <row r="15" spans="1:14" ht="43.2" x14ac:dyDescent="0.3">
      <c r="A15" s="168">
        <v>10</v>
      </c>
      <c r="B15" s="180" t="s">
        <v>589</v>
      </c>
      <c r="C15" s="193"/>
      <c r="D15" s="323">
        <v>1.3</v>
      </c>
      <c r="E15" s="168"/>
      <c r="F15" s="168">
        <v>1</v>
      </c>
      <c r="G15" s="168"/>
      <c r="H15" s="168"/>
      <c r="I15" s="323">
        <f>IF('FR 05002'!$H15&lt;&gt;"",'FR 05002'!$D15*'FR 05002'!$F15*'FR 05002'!$H15,'FR 05002'!$D15*'FR 05002'!$F15)</f>
        <v>1.3</v>
      </c>
    </row>
    <row r="16" spans="1:14" ht="27.6" customHeight="1" x14ac:dyDescent="0.3">
      <c r="A16" s="168">
        <v>20</v>
      </c>
      <c r="B16" s="180" t="s">
        <v>668</v>
      </c>
      <c r="C16" s="193" t="s">
        <v>1775</v>
      </c>
      <c r="D16" s="323">
        <v>0.15</v>
      </c>
      <c r="E16" s="168"/>
      <c r="F16" s="168">
        <v>1.5</v>
      </c>
      <c r="G16" s="168"/>
      <c r="H16" s="168"/>
      <c r="I16" s="323">
        <f>IF('FR 05002'!$H16&lt;&gt;"",'FR 05002'!$D16*'FR 05002'!$F16*'FR 05002'!$H16,'FR 05002'!$D16*'FR 05002'!$F16)</f>
        <v>0.22499999999999998</v>
      </c>
    </row>
    <row r="17" spans="1:11" ht="43.2" x14ac:dyDescent="0.3">
      <c r="A17" s="168">
        <v>30</v>
      </c>
      <c r="B17" s="180" t="s">
        <v>589</v>
      </c>
      <c r="C17" s="184"/>
      <c r="D17" s="243">
        <v>1.3</v>
      </c>
      <c r="E17" s="180" t="s">
        <v>556</v>
      </c>
      <c r="F17" s="168">
        <v>1</v>
      </c>
      <c r="G17" s="168"/>
      <c r="H17" s="168"/>
      <c r="I17" s="323">
        <f>IF('FR 05002'!$H17&lt;&gt;"",'FR 05002'!$D17*'FR 05002'!$F17*'FR 05002'!$H17,'FR 05002'!$D17*'FR 05002'!$F17)</f>
        <v>1.3</v>
      </c>
    </row>
    <row r="18" spans="1:11" ht="28.8" x14ac:dyDescent="0.3">
      <c r="A18" s="168">
        <v>40</v>
      </c>
      <c r="B18" s="180" t="s">
        <v>700</v>
      </c>
      <c r="C18" s="193" t="s">
        <v>1776</v>
      </c>
      <c r="D18" s="323">
        <v>0.01</v>
      </c>
      <c r="E18" s="168" t="s">
        <v>593</v>
      </c>
      <c r="F18" s="168">
        <v>17.48</v>
      </c>
      <c r="G18" s="184" t="s">
        <v>1777</v>
      </c>
      <c r="H18" s="168">
        <v>3</v>
      </c>
      <c r="I18" s="323">
        <f>IF('FR 05002'!$H18&lt;&gt;"",'FR 05002'!$D18*'FR 05002'!$F18*'FR 05002'!$H18,'FR 05002'!$D18*'FR 05002'!$F18)</f>
        <v>0.52439999999999998</v>
      </c>
    </row>
    <row r="19" spans="1:11" ht="28.8" x14ac:dyDescent="0.3">
      <c r="A19" s="168">
        <v>50</v>
      </c>
      <c r="B19" s="315" t="s">
        <v>702</v>
      </c>
      <c r="C19" s="193"/>
      <c r="D19" s="323">
        <v>0.25</v>
      </c>
      <c r="E19" s="168" t="s">
        <v>704</v>
      </c>
      <c r="F19" s="168">
        <v>1</v>
      </c>
      <c r="G19" s="168"/>
      <c r="H19" s="168"/>
      <c r="I19" s="323">
        <f>IF('FR 05002'!$H19&lt;&gt;"",'FR 05002'!$D20*'FR 05002'!$F19*'FR 05002'!$H19,'FR 05002'!$D20*'FR 05002'!$F19)</f>
        <v>0.15</v>
      </c>
    </row>
    <row r="20" spans="1:11" ht="28.8" x14ac:dyDescent="0.3">
      <c r="A20" s="168">
        <v>60</v>
      </c>
      <c r="B20" s="180" t="s">
        <v>650</v>
      </c>
      <c r="C20" s="193" t="s">
        <v>1778</v>
      </c>
      <c r="D20" s="323">
        <v>0.15</v>
      </c>
      <c r="E20" s="168" t="s">
        <v>593</v>
      </c>
      <c r="F20" s="168">
        <v>1.77</v>
      </c>
      <c r="G20" s="168"/>
      <c r="H20" s="168"/>
      <c r="I20" s="323">
        <f>IF('FR 05002'!$H20&lt;&gt;"",'FR 05002'!$D20*'FR 05002'!$F20*'FR 05002'!$H20,'FR 05002'!$D20*'FR 05002'!$F20)</f>
        <v>0.26550000000000001</v>
      </c>
    </row>
    <row r="21" spans="1:11" s="178" customFormat="1" x14ac:dyDescent="0.3">
      <c r="H21" s="620" t="s">
        <v>547</v>
      </c>
      <c r="I21" s="619">
        <f>SUM(I15:I20)</f>
        <v>3.7648999999999999</v>
      </c>
    </row>
    <row r="23" spans="1:11" s="178" customFormat="1" x14ac:dyDescent="0.3">
      <c r="A23" s="161"/>
      <c r="B23" s="161"/>
      <c r="C23" s="161"/>
      <c r="D23" s="161"/>
      <c r="E23" s="161"/>
      <c r="F23" s="161"/>
      <c r="G23" s="161"/>
      <c r="H23" s="161"/>
      <c r="I23" s="161"/>
      <c r="J23" s="161"/>
      <c r="K23" s="161"/>
    </row>
    <row r="24" spans="1:11" x14ac:dyDescent="0.3">
      <c r="A24" s="572" t="s">
        <v>544</v>
      </c>
      <c r="B24" s="572" t="s">
        <v>6</v>
      </c>
      <c r="C24" s="572" t="s">
        <v>549</v>
      </c>
      <c r="D24" s="572" t="s">
        <v>550</v>
      </c>
      <c r="E24" s="572" t="s">
        <v>551</v>
      </c>
      <c r="F24" s="572" t="s">
        <v>28</v>
      </c>
      <c r="G24" s="572" t="s">
        <v>691</v>
      </c>
      <c r="H24" s="572" t="s">
        <v>692</v>
      </c>
      <c r="I24" s="572" t="s">
        <v>547</v>
      </c>
    </row>
    <row r="25" spans="1:11" ht="28.8" x14ac:dyDescent="0.3">
      <c r="A25" s="168">
        <v>10</v>
      </c>
      <c r="B25" s="272" t="s">
        <v>693</v>
      </c>
      <c r="C25" s="168"/>
      <c r="D25" s="323">
        <v>500</v>
      </c>
      <c r="E25" s="168" t="s">
        <v>695</v>
      </c>
      <c r="F25" s="168">
        <v>2</v>
      </c>
      <c r="G25" s="168">
        <v>3000</v>
      </c>
      <c r="H25" s="168">
        <v>1</v>
      </c>
      <c r="I25" s="323">
        <f>D25*F25/G25*H25</f>
        <v>0.33333333333333331</v>
      </c>
    </row>
    <row r="26" spans="1:11" x14ac:dyDescent="0.3">
      <c r="A26" s="178"/>
      <c r="B26" s="178"/>
      <c r="C26" s="178"/>
      <c r="D26" s="178"/>
      <c r="E26" s="178"/>
      <c r="F26" s="178"/>
      <c r="G26" s="178"/>
      <c r="H26" s="574" t="s">
        <v>547</v>
      </c>
      <c r="I26" s="619">
        <f>SUM(I25:I25)</f>
        <v>0.33333333333333331</v>
      </c>
    </row>
    <row r="32" spans="1:11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</row>
    <row r="34" spans="1:11" s="178" customFormat="1" x14ac:dyDescent="0.3">
      <c r="A34" s="161"/>
      <c r="B34" s="161"/>
      <c r="C34" s="161"/>
      <c r="D34" s="161"/>
      <c r="E34" s="161"/>
      <c r="F34" s="161"/>
      <c r="G34" s="161"/>
      <c r="H34" s="161"/>
      <c r="I34" s="161"/>
      <c r="J34" s="161"/>
      <c r="K34" s="161"/>
    </row>
    <row r="37" spans="1:11" s="178" customFormat="1" x14ac:dyDescent="0.3">
      <c r="A37" s="161"/>
      <c r="B37" s="161"/>
      <c r="C37" s="161"/>
      <c r="D37" s="161"/>
      <c r="E37" s="161"/>
      <c r="F37" s="161"/>
      <c r="G37" s="161"/>
      <c r="H37" s="161"/>
      <c r="I37" s="161"/>
      <c r="J37" s="161"/>
      <c r="K37" s="161"/>
    </row>
  </sheetData>
  <pageMargins left="0.5" right="0.5" top="0.75" bottom="0.75" header="0.3" footer="0.3"/>
  <pageSetup paperSize="9" scale="72" orientation="landscape" r:id="rId1"/>
</worksheet>
</file>

<file path=xl/worksheets/sheet1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2.1249791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1719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1723</v>
      </c>
      <c r="D4" s="570" t="s">
        <v>541</v>
      </c>
      <c r="J4" s="570" t="s">
        <v>538</v>
      </c>
      <c r="M4" s="570" t="s">
        <v>539</v>
      </c>
      <c r="N4" s="336">
        <f>N1*N2</f>
        <v>2.1249791</v>
      </c>
    </row>
    <row r="5" spans="1:14" x14ac:dyDescent="0.3">
      <c r="A5" s="570" t="s">
        <v>537</v>
      </c>
      <c r="B5" s="166" t="s">
        <v>250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311" customFormat="1" ht="28.8" x14ac:dyDescent="0.3">
      <c r="A10" s="183">
        <v>10</v>
      </c>
      <c r="B10" s="190" t="s">
        <v>606</v>
      </c>
      <c r="C10" s="183"/>
      <c r="D10" s="241">
        <v>2.25</v>
      </c>
      <c r="E10" s="183">
        <v>6.5000000000000002E-2</v>
      </c>
      <c r="F10" s="183" t="s">
        <v>644</v>
      </c>
      <c r="G10" s="183">
        <v>2.1999999999999999E-2</v>
      </c>
      <c r="H10" s="204" t="s">
        <v>644</v>
      </c>
      <c r="I10" s="269" t="s">
        <v>1774</v>
      </c>
      <c r="J10" s="618">
        <f>E10*G10</f>
        <v>1.4300000000000001E-3</v>
      </c>
      <c r="K10" s="207">
        <v>2E-3</v>
      </c>
      <c r="L10" s="204">
        <v>7860</v>
      </c>
      <c r="M10" s="183">
        <v>1</v>
      </c>
      <c r="N10" s="385">
        <f>IF(J10="",D10*M10,D10*J10*K10*L10*M10)</f>
        <v>5.0579100000000009E-2</v>
      </c>
    </row>
    <row r="11" spans="1:14" s="178" customFormat="1" x14ac:dyDescent="0.3">
      <c r="M11" s="620" t="s">
        <v>547</v>
      </c>
      <c r="N11" s="619">
        <f>SUM(N10:N10)</f>
        <v>5.0579100000000009E-2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ht="43.2" x14ac:dyDescent="0.3">
      <c r="A14" s="168">
        <v>10</v>
      </c>
      <c r="B14" s="180" t="s">
        <v>589</v>
      </c>
      <c r="C14" s="193"/>
      <c r="D14" s="323">
        <v>1.3</v>
      </c>
      <c r="E14" s="168"/>
      <c r="F14" s="168">
        <v>1</v>
      </c>
      <c r="G14" s="168"/>
      <c r="H14" s="168"/>
      <c r="I14" s="323">
        <f>IF('FR 05003'!$H14&lt;&gt;"",'FR 05003'!$D14*'FR 05003'!$F14*'FR 05003'!$H14,'FR 05003'!$D14*'FR 05003'!$F14)</f>
        <v>1.3</v>
      </c>
    </row>
    <row r="15" spans="1:14" ht="28.8" x14ac:dyDescent="0.3">
      <c r="A15" s="168">
        <v>20</v>
      </c>
      <c r="B15" s="180" t="s">
        <v>700</v>
      </c>
      <c r="C15" s="193" t="s">
        <v>1776</v>
      </c>
      <c r="D15" s="323">
        <v>0.01</v>
      </c>
      <c r="E15" s="168" t="s">
        <v>593</v>
      </c>
      <c r="F15" s="168">
        <v>17.48</v>
      </c>
      <c r="G15" s="184" t="s">
        <v>1779</v>
      </c>
      <c r="H15" s="168">
        <v>3</v>
      </c>
      <c r="I15" s="323">
        <f>IF('FR 05003'!$H15&lt;&gt;"",'FR 05003'!$D15*'FR 05003'!$F15*'FR 05003'!$H15,'FR 05003'!$D15*'FR 05003'!$F15)</f>
        <v>0.52439999999999998</v>
      </c>
    </row>
    <row r="16" spans="1:14" ht="28.8" x14ac:dyDescent="0.3">
      <c r="A16" s="168">
        <v>30</v>
      </c>
      <c r="B16" s="180" t="s">
        <v>702</v>
      </c>
      <c r="C16" s="193"/>
      <c r="D16" s="323">
        <v>0.25</v>
      </c>
      <c r="E16" s="168" t="s">
        <v>704</v>
      </c>
      <c r="F16" s="168">
        <v>1</v>
      </c>
      <c r="G16" s="168"/>
      <c r="H16" s="168"/>
      <c r="I16" s="323">
        <f>IF('FR 05003'!$H16&lt;&gt;"",'FR 05003'!$D16*'FR 05003'!$F16*'FR 05003'!$H16,'FR 05003'!$D16*'FR 05003'!$F16)</f>
        <v>0.25</v>
      </c>
    </row>
    <row r="17" spans="1:11" s="178" customFormat="1" x14ac:dyDescent="0.3">
      <c r="H17" s="620" t="s">
        <v>547</v>
      </c>
      <c r="I17" s="619">
        <f>SUM(I14:I16)</f>
        <v>2.0743999999999998</v>
      </c>
    </row>
    <row r="22" spans="1:11" s="178" customFormat="1" x14ac:dyDescent="0.3">
      <c r="A22" s="161"/>
      <c r="B22" s="161"/>
      <c r="C22" s="161"/>
      <c r="D22" s="161"/>
      <c r="E22" s="161"/>
      <c r="F22" s="161"/>
      <c r="G22" s="161"/>
      <c r="H22" s="161"/>
      <c r="I22" s="161"/>
      <c r="J22" s="161"/>
      <c r="K22" s="161"/>
    </row>
    <row r="24" spans="1:11" s="178" customFormat="1" x14ac:dyDescent="0.3">
      <c r="A24" s="161"/>
      <c r="B24" s="161"/>
      <c r="C24" s="161"/>
      <c r="D24" s="161"/>
      <c r="E24" s="161"/>
      <c r="F24" s="161"/>
      <c r="G24" s="161"/>
      <c r="H24" s="161"/>
      <c r="I24" s="161"/>
      <c r="J24" s="161"/>
      <c r="K24" s="161"/>
    </row>
    <row r="27" spans="1:11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</row>
  </sheetData>
  <pageMargins left="0.5" right="0.5" top="0.75" bottom="0.75" header="0.3" footer="0.3"/>
  <pageSetup paperSize="9" scale="71" orientation="landscape" r:id="rId1"/>
</worksheet>
</file>

<file path=xl/worksheets/sheet1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1.7428290880000001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1719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1780</v>
      </c>
      <c r="D4" s="570" t="s">
        <v>541</v>
      </c>
      <c r="J4" s="570" t="s">
        <v>538</v>
      </c>
      <c r="M4" s="570" t="s">
        <v>539</v>
      </c>
      <c r="N4" s="336">
        <f>N1*N2</f>
        <v>3.4856581760000003</v>
      </c>
    </row>
    <row r="5" spans="1:14" x14ac:dyDescent="0.3">
      <c r="A5" s="570" t="s">
        <v>537</v>
      </c>
      <c r="B5" s="166" t="s">
        <v>251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225" t="s">
        <v>799</v>
      </c>
      <c r="C10" s="168"/>
      <c r="D10" s="323">
        <v>4.2</v>
      </c>
      <c r="E10" s="183">
        <v>3.5999999999999997E-2</v>
      </c>
      <c r="F10" s="168" t="s">
        <v>644</v>
      </c>
      <c r="G10" s="168">
        <v>2.1999999999999999E-2</v>
      </c>
      <c r="H10" s="219" t="s">
        <v>644</v>
      </c>
      <c r="I10" s="269" t="s">
        <v>1781</v>
      </c>
      <c r="J10" s="380">
        <f>E10*G10</f>
        <v>7.9199999999999984E-4</v>
      </c>
      <c r="K10" s="228">
        <v>2E-3</v>
      </c>
      <c r="L10" s="219">
        <v>2710</v>
      </c>
      <c r="M10" s="183">
        <v>1</v>
      </c>
      <c r="N10" s="322">
        <f>IF(J10="",D10*M10,D10*J10*K10*L10*M10)</f>
        <v>1.8029087999999995E-2</v>
      </c>
    </row>
    <row r="11" spans="1:14" s="178" customFormat="1" x14ac:dyDescent="0.3">
      <c r="M11" s="620" t="s">
        <v>547</v>
      </c>
      <c r="N11" s="619">
        <f>SUM(N10:N10)</f>
        <v>1.8029087999999995E-2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ht="43.2" x14ac:dyDescent="0.3">
      <c r="A14" s="168">
        <v>10</v>
      </c>
      <c r="B14" s="180" t="s">
        <v>589</v>
      </c>
      <c r="C14" s="193"/>
      <c r="D14" s="323">
        <v>1.3</v>
      </c>
      <c r="E14" s="168"/>
      <c r="F14" s="168">
        <v>1</v>
      </c>
      <c r="G14" s="168"/>
      <c r="H14" s="168"/>
      <c r="I14" s="323">
        <f>IF('FR 05004'!$H14&lt;&gt;"",'FR 05004'!$D14*'FR 05004'!$F14*'FR 05004'!$H14,'FR 05004'!$D14*'FR 05004'!$F14)</f>
        <v>1.3</v>
      </c>
    </row>
    <row r="15" spans="1:14" ht="28.8" x14ac:dyDescent="0.3">
      <c r="A15" s="168">
        <v>20</v>
      </c>
      <c r="B15" s="180" t="s">
        <v>700</v>
      </c>
      <c r="C15" s="193" t="s">
        <v>1776</v>
      </c>
      <c r="D15" s="323">
        <v>0.01</v>
      </c>
      <c r="E15" s="168" t="s">
        <v>593</v>
      </c>
      <c r="F15" s="168">
        <v>17.48</v>
      </c>
      <c r="G15" s="184" t="s">
        <v>1782</v>
      </c>
      <c r="H15" s="168">
        <v>1</v>
      </c>
      <c r="I15" s="323">
        <f>IF('FR 05004'!$H15&lt;&gt;"",'FR 05004'!$D15*'FR 05004'!$F15*'FR 05004'!$H15,'FR 05004'!$D15*'FR 05004'!$F15)</f>
        <v>0.17480000000000001</v>
      </c>
    </row>
    <row r="16" spans="1:14" ht="28.8" x14ac:dyDescent="0.3">
      <c r="A16" s="168">
        <v>30</v>
      </c>
      <c r="B16" s="180" t="s">
        <v>702</v>
      </c>
      <c r="C16" s="193"/>
      <c r="D16" s="323">
        <v>0.25</v>
      </c>
      <c r="E16" s="168" t="s">
        <v>704</v>
      </c>
      <c r="F16" s="168">
        <v>1</v>
      </c>
      <c r="G16" s="168"/>
      <c r="H16" s="168"/>
      <c r="I16" s="323">
        <f>IF('FR 05004'!$H16&lt;&gt;"",'FR 05004'!$D16*'FR 05004'!$F16*'FR 05004'!$H16,'FR 05004'!$D16*'FR 05004'!$F16)</f>
        <v>0.25</v>
      </c>
    </row>
    <row r="17" spans="1:11" s="178" customFormat="1" x14ac:dyDescent="0.3">
      <c r="H17" s="620" t="s">
        <v>547</v>
      </c>
      <c r="I17" s="619">
        <f>SUM(I14:I16)</f>
        <v>1.7248000000000001</v>
      </c>
    </row>
    <row r="22" spans="1:11" s="178" customFormat="1" x14ac:dyDescent="0.3">
      <c r="A22" s="161"/>
      <c r="B22" s="161"/>
      <c r="C22" s="161"/>
      <c r="D22" s="161"/>
      <c r="E22" s="161"/>
      <c r="F22" s="161"/>
      <c r="G22" s="161"/>
      <c r="H22" s="161"/>
      <c r="I22" s="161"/>
      <c r="J22" s="161"/>
      <c r="K22" s="161"/>
    </row>
    <row r="24" spans="1:11" s="178" customFormat="1" x14ac:dyDescent="0.3">
      <c r="A24" s="161"/>
      <c r="B24" s="161"/>
      <c r="C24" s="161"/>
      <c r="D24" s="161"/>
      <c r="E24" s="161"/>
      <c r="F24" s="161"/>
      <c r="G24" s="161"/>
      <c r="H24" s="161"/>
      <c r="I24" s="161"/>
      <c r="J24" s="161"/>
      <c r="K24" s="161"/>
    </row>
    <row r="27" spans="1:11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</row>
  </sheetData>
  <pageMargins left="0.5" right="0.5" top="0.75" bottom="0.75" header="0.3" footer="0.3"/>
  <pageSetup paperSize="9" scale="71" orientation="landscape" r:id="rId1"/>
</worksheet>
</file>

<file path=xl/worksheets/sheet1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38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N12+I22+I28</f>
        <v>5.5737547406334045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1719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1725</v>
      </c>
      <c r="D4" s="570" t="s">
        <v>541</v>
      </c>
      <c r="J4" s="570" t="s">
        <v>538</v>
      </c>
      <c r="M4" s="570" t="s">
        <v>539</v>
      </c>
      <c r="N4" s="336">
        <f>N1*N2</f>
        <v>5.5737547406334045</v>
      </c>
    </row>
    <row r="5" spans="1:14" x14ac:dyDescent="0.3">
      <c r="A5" s="570" t="s">
        <v>537</v>
      </c>
      <c r="B5" s="166" t="s">
        <v>252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178" customFormat="1" ht="28.8" x14ac:dyDescent="0.3">
      <c r="A10" s="623">
        <v>10</v>
      </c>
      <c r="B10" s="225" t="s">
        <v>720</v>
      </c>
      <c r="C10" s="623"/>
      <c r="D10" s="323">
        <v>4.2</v>
      </c>
      <c r="E10" s="623">
        <v>2.5999999999999999E-2</v>
      </c>
      <c r="F10" s="623" t="s">
        <v>644</v>
      </c>
      <c r="G10" s="623">
        <v>2.5999999999999999E-2</v>
      </c>
      <c r="H10" s="623" t="s">
        <v>644</v>
      </c>
      <c r="I10" s="622" t="s">
        <v>1783</v>
      </c>
      <c r="J10" s="623">
        <f>E10*G10</f>
        <v>6.7599999999999995E-4</v>
      </c>
      <c r="K10" s="623">
        <v>3.1E-2</v>
      </c>
      <c r="L10" s="219">
        <v>2710</v>
      </c>
      <c r="M10" s="168">
        <v>1</v>
      </c>
      <c r="N10" s="322">
        <f>IF(J10="",D10*M10,D10*J10*K10*L10*M10)</f>
        <v>0.23852119200000002</v>
      </c>
    </row>
    <row r="11" spans="1:14" ht="28.8" x14ac:dyDescent="0.3">
      <c r="A11" s="168">
        <v>20</v>
      </c>
      <c r="B11" s="225" t="s">
        <v>720</v>
      </c>
      <c r="C11" s="168"/>
      <c r="D11" s="323">
        <v>4.2</v>
      </c>
      <c r="E11" s="168">
        <v>2.1999999999999999E-2</v>
      </c>
      <c r="F11" s="168" t="s">
        <v>644</v>
      </c>
      <c r="G11" s="168">
        <v>1.9E-2</v>
      </c>
      <c r="H11" s="219" t="s">
        <v>644</v>
      </c>
      <c r="I11" s="269" t="s">
        <v>1784</v>
      </c>
      <c r="J11" s="624">
        <f>((E11*E11-G11*G11)*PI())/4</f>
        <v>9.6603974097886103E-5</v>
      </c>
      <c r="K11" s="228">
        <v>0.22</v>
      </c>
      <c r="L11" s="219">
        <v>2710</v>
      </c>
      <c r="M11" s="168">
        <v>1</v>
      </c>
      <c r="N11" s="322">
        <f>IF(J11="",D11*M11,D11*J11*K11*L11*M11)</f>
        <v>0.24190021530007072</v>
      </c>
    </row>
    <row r="12" spans="1:14" s="178" customFormat="1" x14ac:dyDescent="0.3">
      <c r="M12" s="620" t="s">
        <v>547</v>
      </c>
      <c r="N12" s="575">
        <f>SUM(N10:N11)</f>
        <v>0.48042140730007077</v>
      </c>
    </row>
    <row r="14" spans="1:14" s="178" customFormat="1" x14ac:dyDescent="0.3">
      <c r="A14" s="572" t="s">
        <v>544</v>
      </c>
      <c r="B14" s="572" t="s">
        <v>548</v>
      </c>
      <c r="C14" s="572" t="s">
        <v>549</v>
      </c>
      <c r="D14" s="572" t="s">
        <v>550</v>
      </c>
      <c r="E14" s="572" t="s">
        <v>551</v>
      </c>
      <c r="F14" s="572" t="s">
        <v>28</v>
      </c>
      <c r="G14" s="572" t="s">
        <v>552</v>
      </c>
      <c r="H14" s="572" t="s">
        <v>553</v>
      </c>
      <c r="I14" s="572" t="s">
        <v>547</v>
      </c>
    </row>
    <row r="15" spans="1:14" ht="43.2" x14ac:dyDescent="0.3">
      <c r="A15" s="168">
        <v>10</v>
      </c>
      <c r="B15" s="180" t="s">
        <v>589</v>
      </c>
      <c r="C15" s="193"/>
      <c r="D15" s="323">
        <v>1.3</v>
      </c>
      <c r="E15" s="168"/>
      <c r="F15" s="168">
        <v>1</v>
      </c>
      <c r="G15" s="168"/>
      <c r="H15" s="168"/>
      <c r="I15" s="323">
        <f>IF('FR 05005'!$H15&lt;&gt;"",'FR 05005'!$D15*'FR 05005'!$F15*'FR 05005'!$H15,'FR 05005'!$D15*'FR 05005'!$F15)</f>
        <v>1.3</v>
      </c>
    </row>
    <row r="16" spans="1:14" ht="28.8" x14ac:dyDescent="0.3">
      <c r="A16" s="168">
        <v>20</v>
      </c>
      <c r="B16" s="180" t="s">
        <v>609</v>
      </c>
      <c r="C16" s="193" t="s">
        <v>1769</v>
      </c>
      <c r="D16" s="323">
        <v>0.04</v>
      </c>
      <c r="E16" s="168" t="s">
        <v>610</v>
      </c>
      <c r="F16" s="168">
        <v>6.5</v>
      </c>
      <c r="G16" s="184" t="s">
        <v>1785</v>
      </c>
      <c r="H16" s="168">
        <v>1</v>
      </c>
      <c r="I16" s="323">
        <f>IF('FR 05005'!$H16&lt;&gt;"",'FR 05005'!$D16*'FR 05005'!$F16*'FR 05005'!$H16,'FR 05005'!$D16*'FR 05005'!$F16)</f>
        <v>0.26</v>
      </c>
    </row>
    <row r="17" spans="1:11" ht="36.6" customHeight="1" x14ac:dyDescent="0.3">
      <c r="A17" s="168">
        <v>30</v>
      </c>
      <c r="B17" s="180" t="s">
        <v>785</v>
      </c>
      <c r="C17" s="184"/>
      <c r="D17" s="243">
        <v>0.65</v>
      </c>
      <c r="E17" s="180" t="s">
        <v>556</v>
      </c>
      <c r="F17" s="168">
        <v>1</v>
      </c>
      <c r="G17" s="168"/>
      <c r="H17" s="168"/>
      <c r="I17" s="323">
        <f>IF('FR 05005'!$H17&lt;&gt;"",'FR 05005'!$D17*'FR 05005'!$F17*'FR 05005'!$H17,'FR 05005'!$D17*'FR 05005'!$F17)</f>
        <v>0.65</v>
      </c>
    </row>
    <row r="18" spans="1:11" ht="45" customHeight="1" x14ac:dyDescent="0.3">
      <c r="A18" s="168">
        <v>40</v>
      </c>
      <c r="B18" s="180" t="s">
        <v>791</v>
      </c>
      <c r="C18" s="193" t="s">
        <v>1786</v>
      </c>
      <c r="D18" s="323">
        <v>0.35</v>
      </c>
      <c r="E18" s="168" t="s">
        <v>843</v>
      </c>
      <c r="F18" s="168">
        <v>1</v>
      </c>
      <c r="G18" s="168"/>
      <c r="H18" s="168"/>
      <c r="I18" s="323">
        <f>IF('FR 05005'!$H18&lt;&gt;"",'FR 05005'!$D18*'FR 05005'!$F18*'FR 05005'!$H18,'FR 05005'!$D18*'FR 05005'!$F18)</f>
        <v>0.35</v>
      </c>
    </row>
    <row r="19" spans="1:11" ht="43.2" x14ac:dyDescent="0.3">
      <c r="A19" s="168">
        <v>50</v>
      </c>
      <c r="B19" s="180" t="s">
        <v>589</v>
      </c>
      <c r="C19" s="193"/>
      <c r="D19" s="323">
        <v>1.3</v>
      </c>
      <c r="E19" s="168" t="s">
        <v>556</v>
      </c>
      <c r="F19" s="168">
        <v>1</v>
      </c>
      <c r="G19" s="168"/>
      <c r="H19" s="168"/>
      <c r="I19" s="323">
        <f>IF('FR 05005'!$H19&lt;&gt;"",'FR 05005'!$D19*'FR 05005'!$F19*'FR 05005'!$H19,'FR 05005'!$D19*'FR 05005'!$F19)</f>
        <v>1.3</v>
      </c>
    </row>
    <row r="20" spans="1:11" ht="29.4" customHeight="1" x14ac:dyDescent="0.3">
      <c r="A20" s="168">
        <v>60</v>
      </c>
      <c r="B20" s="180" t="s">
        <v>668</v>
      </c>
      <c r="C20" s="193" t="s">
        <v>1787</v>
      </c>
      <c r="D20" s="323">
        <v>0.15</v>
      </c>
      <c r="E20" s="168" t="s">
        <v>593</v>
      </c>
      <c r="F20" s="168">
        <v>2.2000000000000002</v>
      </c>
      <c r="G20" s="168"/>
      <c r="H20" s="168"/>
      <c r="I20" s="323">
        <f>IF('FR 05005'!$H20&lt;&gt;"",'FR 05005'!$D20*'FR 05005'!$F20*'FR 05005'!$H20,'FR 05005'!$D20*'FR 05005'!$F20)</f>
        <v>0.33</v>
      </c>
    </row>
    <row r="21" spans="1:11" ht="28.2" customHeight="1" x14ac:dyDescent="0.3">
      <c r="A21" s="168">
        <v>70</v>
      </c>
      <c r="B21" s="180" t="s">
        <v>650</v>
      </c>
      <c r="C21" s="193" t="s">
        <v>1788</v>
      </c>
      <c r="D21" s="323">
        <v>0.15</v>
      </c>
      <c r="E21" s="168" t="s">
        <v>593</v>
      </c>
      <c r="F21" s="168">
        <v>3.8</v>
      </c>
      <c r="G21" s="168"/>
      <c r="H21" s="168"/>
      <c r="I21" s="323">
        <f>IF('FR 05005'!$H21&lt;&gt;"",'FR 05005'!$D21*'FR 05005'!$F21*'FR 05005'!$H21,'FR 05005'!$D21*'FR 05005'!$F21)</f>
        <v>0.56999999999999995</v>
      </c>
    </row>
    <row r="22" spans="1:11" s="178" customFormat="1" x14ac:dyDescent="0.3">
      <c r="H22" s="574" t="s">
        <v>547</v>
      </c>
      <c r="I22" s="575">
        <f>SUM(I15:I21)</f>
        <v>4.7600000000000007</v>
      </c>
    </row>
    <row r="24" spans="1:11" s="178" customFormat="1" x14ac:dyDescent="0.3">
      <c r="A24" s="161"/>
      <c r="B24" s="161"/>
      <c r="C24" s="161"/>
      <c r="D24" s="161"/>
      <c r="E24" s="161"/>
      <c r="F24" s="161"/>
      <c r="G24" s="161"/>
      <c r="H24" s="161"/>
      <c r="I24" s="161"/>
      <c r="J24" s="161"/>
      <c r="K24" s="161"/>
    </row>
    <row r="26" spans="1:11" x14ac:dyDescent="0.3">
      <c r="A26" s="572" t="s">
        <v>544</v>
      </c>
      <c r="B26" s="572" t="s">
        <v>6</v>
      </c>
      <c r="C26" s="572" t="s">
        <v>549</v>
      </c>
      <c r="D26" s="572" t="s">
        <v>550</v>
      </c>
      <c r="E26" s="572" t="s">
        <v>551</v>
      </c>
      <c r="F26" s="572" t="s">
        <v>28</v>
      </c>
      <c r="G26" s="572" t="s">
        <v>691</v>
      </c>
      <c r="H26" s="572" t="s">
        <v>692</v>
      </c>
      <c r="I26" s="572" t="s">
        <v>547</v>
      </c>
    </row>
    <row r="27" spans="1:11" ht="28.8" x14ac:dyDescent="0.3">
      <c r="A27" s="168">
        <v>10</v>
      </c>
      <c r="B27" s="272" t="s">
        <v>693</v>
      </c>
      <c r="C27" s="168"/>
      <c r="D27" s="323">
        <v>500</v>
      </c>
      <c r="E27" s="168" t="s">
        <v>695</v>
      </c>
      <c r="F27" s="168">
        <v>2</v>
      </c>
      <c r="G27" s="168">
        <v>3000</v>
      </c>
      <c r="H27" s="168">
        <v>1</v>
      </c>
      <c r="I27" s="323">
        <f>D27*F27/G27*H27</f>
        <v>0.33333333333333331</v>
      </c>
    </row>
    <row r="28" spans="1:11" x14ac:dyDescent="0.3">
      <c r="A28" s="178"/>
      <c r="B28" s="178"/>
      <c r="C28" s="178"/>
      <c r="D28" s="178"/>
      <c r="E28" s="178"/>
      <c r="F28" s="178"/>
      <c r="G28" s="178"/>
      <c r="H28" s="574" t="s">
        <v>547</v>
      </c>
      <c r="I28" s="575">
        <f>SUM(I27:I27)</f>
        <v>0.33333333333333331</v>
      </c>
    </row>
    <row r="33" spans="1:11" s="178" customFormat="1" x14ac:dyDescent="0.3">
      <c r="A33" s="161"/>
      <c r="B33" s="161"/>
      <c r="C33" s="161"/>
      <c r="D33" s="161"/>
      <c r="E33" s="161"/>
      <c r="F33" s="161"/>
      <c r="G33" s="161"/>
      <c r="H33" s="161"/>
      <c r="I33" s="161"/>
      <c r="J33" s="161"/>
      <c r="K33" s="161"/>
    </row>
    <row r="35" spans="1:11" s="178" customFormat="1" x14ac:dyDescent="0.3">
      <c r="A35" s="161"/>
      <c r="B35" s="161"/>
      <c r="C35" s="161"/>
      <c r="D35" s="161"/>
      <c r="E35" s="161"/>
      <c r="F35" s="161"/>
      <c r="G35" s="161"/>
      <c r="H35" s="161"/>
      <c r="I35" s="161"/>
      <c r="J35" s="161"/>
      <c r="K35" s="161"/>
    </row>
    <row r="38" spans="1:11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</row>
  </sheetData>
  <pageMargins left="0.5" right="0.5" top="0.75" bottom="0.75" header="0.3" footer="0.3"/>
  <pageSetup paperSize="9" scale="64" orientation="landscape" r:id="rId1"/>
</worksheet>
</file>

<file path=xl/worksheets/sheet1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38"/>
  <sheetViews>
    <sheetView showGridLines="0" workbookViewId="0"/>
  </sheetViews>
  <sheetFormatPr defaultColWidth="9.109375" defaultRowHeight="14.4" x14ac:dyDescent="0.3"/>
  <cols>
    <col min="1" max="1" width="13.88671875" style="161" customWidth="1"/>
    <col min="2" max="2" width="14.44140625" style="161" customWidth="1"/>
    <col min="3" max="3" width="14.109375" style="161" customWidth="1"/>
    <col min="4" max="4" width="13.5546875" style="161" bestFit="1" customWidth="1"/>
    <col min="5" max="5" width="14.109375" style="161" bestFit="1" customWidth="1"/>
    <col min="6" max="6" width="10" style="161" customWidth="1"/>
    <col min="7" max="7" width="15.77734375" style="161" customWidth="1"/>
    <col min="8" max="8" width="17" style="161" customWidth="1"/>
    <col min="9" max="9" width="15.5546875" style="161" bestFit="1" customWidth="1"/>
    <col min="10" max="10" width="10.77734375" style="161" customWidth="1"/>
    <col min="11" max="11" width="8" style="161" customWidth="1"/>
    <col min="12" max="12" width="10.44140625" style="16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N11+I22+I26</f>
        <v>10.871166666666667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1719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1726</v>
      </c>
      <c r="D4" s="570" t="s">
        <v>541</v>
      </c>
      <c r="J4" s="570" t="s">
        <v>538</v>
      </c>
      <c r="M4" s="570" t="s">
        <v>539</v>
      </c>
      <c r="N4" s="336">
        <f>N1*N2</f>
        <v>10.871166666666667</v>
      </c>
    </row>
    <row r="5" spans="1:14" x14ac:dyDescent="0.3">
      <c r="A5" s="570" t="s">
        <v>537</v>
      </c>
      <c r="B5" s="166" t="s">
        <v>253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1789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x14ac:dyDescent="0.3">
      <c r="A10" s="168">
        <v>10</v>
      </c>
      <c r="B10" s="225" t="s">
        <v>606</v>
      </c>
      <c r="C10" s="168"/>
      <c r="D10" s="323">
        <v>2.25</v>
      </c>
      <c r="E10" s="168">
        <v>0.25</v>
      </c>
      <c r="F10" s="168" t="s">
        <v>856</v>
      </c>
      <c r="G10" s="168"/>
      <c r="H10" s="219"/>
      <c r="I10" s="269"/>
      <c r="J10" s="624"/>
      <c r="K10" s="219"/>
      <c r="L10" s="219">
        <v>7860</v>
      </c>
      <c r="M10" s="168">
        <v>1</v>
      </c>
      <c r="N10" s="322">
        <f>D10*E10*M10</f>
        <v>0.5625</v>
      </c>
    </row>
    <row r="11" spans="1:14" s="178" customFormat="1" x14ac:dyDescent="0.3">
      <c r="M11" s="574" t="s">
        <v>547</v>
      </c>
      <c r="N11" s="575">
        <f>SUM(N10:N10)</f>
        <v>0.5625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178" customFormat="1" ht="18" customHeight="1" x14ac:dyDescent="0.3">
      <c r="A14" s="625">
        <v>10</v>
      </c>
      <c r="B14" s="623" t="s">
        <v>1790</v>
      </c>
      <c r="C14" s="623"/>
      <c r="D14" s="623">
        <v>4</v>
      </c>
      <c r="E14" s="623" t="s">
        <v>856</v>
      </c>
      <c r="F14" s="623">
        <v>0.25</v>
      </c>
      <c r="G14" s="623"/>
      <c r="H14" s="623"/>
      <c r="I14" s="323">
        <f>IF('FR 05006'!$H14&lt;&gt;"",'FR 05006'!$D14*'FR 05006'!$F14*'FR 05006'!$H14,'FR 05006'!$D14*'FR 05006'!$F14)</f>
        <v>1</v>
      </c>
    </row>
    <row r="15" spans="1:14" ht="43.2" x14ac:dyDescent="0.3">
      <c r="A15" s="168">
        <v>20</v>
      </c>
      <c r="B15" s="180" t="s">
        <v>589</v>
      </c>
      <c r="C15" s="193"/>
      <c r="D15" s="323">
        <v>1.3</v>
      </c>
      <c r="E15" s="168"/>
      <c r="F15" s="168">
        <v>1</v>
      </c>
      <c r="G15" s="168"/>
      <c r="H15" s="168"/>
      <c r="I15" s="323">
        <f>IF('FR 05006'!$H15&lt;&gt;"",'FR 05006'!$D15*'FR 05006'!$F15*'FR 05006'!$H15,'FR 05006'!$D15*'FR 05006'!$F15)</f>
        <v>1.3</v>
      </c>
    </row>
    <row r="16" spans="1:14" ht="28.8" x14ac:dyDescent="0.3">
      <c r="A16" s="168">
        <v>30</v>
      </c>
      <c r="B16" s="180" t="s">
        <v>609</v>
      </c>
      <c r="C16" s="193" t="s">
        <v>1791</v>
      </c>
      <c r="D16" s="323">
        <v>0.04</v>
      </c>
      <c r="E16" s="168" t="s">
        <v>610</v>
      </c>
      <c r="F16" s="168">
        <v>6</v>
      </c>
      <c r="G16" s="168" t="s">
        <v>598</v>
      </c>
      <c r="H16" s="168">
        <v>3</v>
      </c>
      <c r="I16" s="323">
        <f>IF('FR 05006'!$H16&lt;&gt;"",'FR 05006'!$D16*'FR 05006'!$F16*'FR 05006'!$H16,'FR 05006'!$D16*'FR 05006'!$F16)</f>
        <v>0.72</v>
      </c>
    </row>
    <row r="17" spans="1:11" ht="28.8" x14ac:dyDescent="0.3">
      <c r="A17" s="168">
        <v>40</v>
      </c>
      <c r="B17" s="180" t="s">
        <v>785</v>
      </c>
      <c r="C17" s="193"/>
      <c r="D17" s="323">
        <v>0.65</v>
      </c>
      <c r="E17" s="168" t="s">
        <v>556</v>
      </c>
      <c r="F17" s="168">
        <v>1</v>
      </c>
      <c r="G17" s="168"/>
      <c r="H17" s="168"/>
      <c r="I17" s="323">
        <f>IF('FR 05006'!$H17&lt;&gt;"",'FR 05006'!$D17*'FR 05006'!$F17*'FR 05006'!$H17,'FR 05006'!$D17*'FR 05006'!$F17)</f>
        <v>0.65</v>
      </c>
    </row>
    <row r="18" spans="1:11" x14ac:dyDescent="0.3">
      <c r="A18" s="168">
        <v>50</v>
      </c>
      <c r="B18" s="180" t="s">
        <v>609</v>
      </c>
      <c r="C18" s="193" t="s">
        <v>1792</v>
      </c>
      <c r="D18" s="323">
        <v>0.04</v>
      </c>
      <c r="E18" s="168" t="s">
        <v>610</v>
      </c>
      <c r="F18" s="168">
        <v>0.6</v>
      </c>
      <c r="G18" s="168" t="s">
        <v>598</v>
      </c>
      <c r="H18" s="168">
        <v>3</v>
      </c>
      <c r="I18" s="323">
        <f>IF('FR 05006'!$H18&lt;&gt;"",'FR 05006'!$D18*'FR 05006'!$F18*'FR 05006'!$H18,'FR 05006'!$D18*'FR 05006'!$F18)</f>
        <v>7.2000000000000008E-2</v>
      </c>
    </row>
    <row r="19" spans="1:11" ht="40.799999999999997" customHeight="1" x14ac:dyDescent="0.3">
      <c r="A19" s="168">
        <v>60</v>
      </c>
      <c r="B19" s="180" t="s">
        <v>791</v>
      </c>
      <c r="C19" s="193" t="s">
        <v>1793</v>
      </c>
      <c r="D19" s="323">
        <v>0.35</v>
      </c>
      <c r="E19" s="168" t="s">
        <v>843</v>
      </c>
      <c r="F19" s="168">
        <v>1</v>
      </c>
      <c r="G19" s="168"/>
      <c r="H19" s="168"/>
      <c r="I19" s="323">
        <f>IF('FR 05006'!$H19&lt;&gt;"",'FR 05006'!$D19*'FR 05006'!$F19*'FR 05006'!$H19,'FR 05006'!$D19*'FR 05006'!$F19)</f>
        <v>0.35</v>
      </c>
    </row>
    <row r="20" spans="1:11" ht="40.799999999999997" customHeight="1" x14ac:dyDescent="0.3">
      <c r="A20" s="168">
        <v>70</v>
      </c>
      <c r="B20" s="180" t="s">
        <v>791</v>
      </c>
      <c r="C20" s="193" t="s">
        <v>1794</v>
      </c>
      <c r="D20" s="323">
        <v>0.35</v>
      </c>
      <c r="E20" s="168" t="s">
        <v>843</v>
      </c>
      <c r="F20" s="168">
        <v>1</v>
      </c>
      <c r="G20" s="168"/>
      <c r="H20" s="168"/>
      <c r="I20" s="323">
        <f>IF('FR 05006'!$H20&lt;&gt;"",'FR 05006'!$D20*'FR 05006'!$F20*'FR 05006'!$H20,'FR 05006'!$D20*'FR 05006'!$F20)</f>
        <v>0.35</v>
      </c>
    </row>
    <row r="21" spans="1:11" ht="28.8" x14ac:dyDescent="0.3">
      <c r="A21" s="168">
        <v>80</v>
      </c>
      <c r="B21" s="180" t="s">
        <v>1772</v>
      </c>
      <c r="C21" s="193" t="s">
        <v>1795</v>
      </c>
      <c r="D21" s="323">
        <v>0.2</v>
      </c>
      <c r="E21" s="168" t="s">
        <v>593</v>
      </c>
      <c r="F21" s="168">
        <v>1</v>
      </c>
      <c r="G21" s="168"/>
      <c r="H21" s="168"/>
      <c r="I21" s="323">
        <f>IF('FR 05006'!$H21&lt;&gt;"",'FR 05006'!$D21*'FR 05006'!$F21*'FR 05006'!$H21,'FR 05006'!$D21*'FR 05006'!$F21)</f>
        <v>0.2</v>
      </c>
    </row>
    <row r="22" spans="1:11" s="178" customFormat="1" x14ac:dyDescent="0.3">
      <c r="H22" s="574" t="s">
        <v>547</v>
      </c>
      <c r="I22" s="575">
        <f>SUM(I15:I21)</f>
        <v>3.6420000000000003</v>
      </c>
    </row>
    <row r="24" spans="1:11" s="178" customFormat="1" x14ac:dyDescent="0.3">
      <c r="A24" s="572" t="s">
        <v>544</v>
      </c>
      <c r="B24" s="572" t="s">
        <v>6</v>
      </c>
      <c r="C24" s="572" t="s">
        <v>549</v>
      </c>
      <c r="D24" s="572" t="s">
        <v>550</v>
      </c>
      <c r="E24" s="572" t="s">
        <v>551</v>
      </c>
      <c r="F24" s="572" t="s">
        <v>28</v>
      </c>
      <c r="G24" s="572" t="s">
        <v>691</v>
      </c>
      <c r="H24" s="572" t="s">
        <v>736</v>
      </c>
      <c r="I24" s="572" t="s">
        <v>547</v>
      </c>
      <c r="J24" s="161"/>
      <c r="K24" s="161"/>
    </row>
    <row r="25" spans="1:11" x14ac:dyDescent="0.3">
      <c r="A25" s="168">
        <v>10</v>
      </c>
      <c r="B25" s="168" t="s">
        <v>1796</v>
      </c>
      <c r="C25" s="168"/>
      <c r="D25" s="323">
        <v>10000</v>
      </c>
      <c r="E25" s="168" t="s">
        <v>1797</v>
      </c>
      <c r="F25" s="168">
        <v>2</v>
      </c>
      <c r="G25" s="168">
        <v>3000</v>
      </c>
      <c r="H25" s="168">
        <v>1</v>
      </c>
      <c r="I25" s="322">
        <f>D25*F25/G25*H25</f>
        <v>6.666666666666667</v>
      </c>
    </row>
    <row r="26" spans="1:11" x14ac:dyDescent="0.3">
      <c r="A26" s="178"/>
      <c r="B26" s="178"/>
      <c r="C26" s="178"/>
      <c r="D26" s="178"/>
      <c r="E26" s="178"/>
      <c r="F26" s="178"/>
      <c r="G26" s="178"/>
      <c r="H26" s="574" t="s">
        <v>547</v>
      </c>
      <c r="I26" s="575">
        <f>SUM(I25:I25)</f>
        <v>6.666666666666667</v>
      </c>
    </row>
    <row r="33" spans="1:11" s="178" customFormat="1" x14ac:dyDescent="0.3">
      <c r="A33" s="161"/>
      <c r="B33" s="161"/>
      <c r="C33" s="161"/>
      <c r="D33" s="161"/>
      <c r="E33" s="161"/>
      <c r="F33" s="161"/>
      <c r="G33" s="161"/>
      <c r="H33" s="161"/>
      <c r="I33" s="161"/>
      <c r="J33" s="161"/>
      <c r="K33" s="161"/>
    </row>
    <row r="35" spans="1:11" s="178" customFormat="1" x14ac:dyDescent="0.3">
      <c r="A35" s="161"/>
      <c r="B35" s="161"/>
      <c r="C35" s="161"/>
      <c r="D35" s="161"/>
      <c r="E35" s="161"/>
      <c r="F35" s="161"/>
      <c r="G35" s="161"/>
      <c r="H35" s="161"/>
      <c r="I35" s="161"/>
      <c r="J35" s="161"/>
      <c r="K35" s="161"/>
    </row>
    <row r="38" spans="1:11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</row>
  </sheetData>
  <pageMargins left="0.5" right="0.5" top="0.75" bottom="0.75" header="0.3" footer="0.3"/>
  <pageSetup paperSize="9" scale="72" orientation="landscape" r:id="rId1"/>
</worksheet>
</file>

<file path=xl/worksheets/sheet1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34"/>
  <sheetViews>
    <sheetView showGridLines="0" workbookViewId="0"/>
  </sheetViews>
  <sheetFormatPr defaultColWidth="9.109375" defaultRowHeight="14.4" x14ac:dyDescent="0.3"/>
  <cols>
    <col min="1" max="1" width="13.5546875" style="161" customWidth="1"/>
    <col min="2" max="2" width="15.21875" style="161" customWidth="1"/>
    <col min="3" max="3" width="12.44140625" style="161" customWidth="1"/>
    <col min="4" max="4" width="12.21875" style="161" customWidth="1"/>
    <col min="5" max="5" width="14.109375" style="161" customWidth="1"/>
    <col min="6" max="6" width="11" style="161" customWidth="1"/>
    <col min="7" max="7" width="19.6640625" style="161" customWidth="1"/>
    <col min="8" max="8" width="15.5546875" style="161" customWidth="1"/>
    <col min="9" max="9" width="11.77734375" style="161" customWidth="1"/>
    <col min="10" max="10" width="11.88671875" style="161" customWidth="1"/>
    <col min="11" max="11" width="9.6640625" style="161" customWidth="1"/>
    <col min="12" max="12" width="10.109375" style="161" customWidth="1"/>
    <col min="13" max="13" width="14.2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N11+I18+I23</f>
        <v>9.7986666666666675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1719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1798</v>
      </c>
      <c r="D4" s="570" t="s">
        <v>541</v>
      </c>
      <c r="J4" s="570" t="s">
        <v>538</v>
      </c>
      <c r="M4" s="570" t="s">
        <v>539</v>
      </c>
      <c r="N4" s="336">
        <f>N1*N2</f>
        <v>9.7986666666666675</v>
      </c>
    </row>
    <row r="5" spans="1:14" x14ac:dyDescent="0.3">
      <c r="A5" s="570" t="s">
        <v>537</v>
      </c>
      <c r="B5" s="166" t="s">
        <v>254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1117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626" t="s">
        <v>720</v>
      </c>
      <c r="C10" s="168"/>
      <c r="D10" s="323">
        <v>4.2</v>
      </c>
      <c r="E10" s="168">
        <v>0.15</v>
      </c>
      <c r="F10" s="168" t="s">
        <v>856</v>
      </c>
      <c r="G10" s="168"/>
      <c r="H10" s="219"/>
      <c r="I10" s="269"/>
      <c r="J10" s="624">
        <f>E10*G10</f>
        <v>0</v>
      </c>
      <c r="K10" s="219"/>
      <c r="L10" s="219">
        <v>2710</v>
      </c>
      <c r="M10" s="168">
        <v>1</v>
      </c>
      <c r="N10" s="322">
        <f>D10*E10*M10</f>
        <v>0.63</v>
      </c>
    </row>
    <row r="11" spans="1:14" s="178" customFormat="1" x14ac:dyDescent="0.3">
      <c r="M11" s="574" t="s">
        <v>547</v>
      </c>
      <c r="N11" s="575">
        <f>SUM(N10:N10)</f>
        <v>0.63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178" customFormat="1" x14ac:dyDescent="0.3">
      <c r="A14" s="623">
        <v>10</v>
      </c>
      <c r="B14" s="623" t="s">
        <v>1790</v>
      </c>
      <c r="C14" s="622" t="s">
        <v>1799</v>
      </c>
      <c r="D14" s="623">
        <v>4</v>
      </c>
      <c r="E14" s="623" t="s">
        <v>856</v>
      </c>
      <c r="F14" s="623">
        <v>0.15</v>
      </c>
      <c r="G14" s="623"/>
      <c r="H14" s="627"/>
      <c r="I14" s="323">
        <f>IF('FR 05007'!$H14&lt;&gt;"",'FR 05007'!$D14*'FR 05007'!$F14*'FR 05007'!$H14,'FR 05007'!$D14*'FR 05007'!$F14)</f>
        <v>0.6</v>
      </c>
    </row>
    <row r="15" spans="1:14" ht="43.2" x14ac:dyDescent="0.3">
      <c r="A15" s="168">
        <v>20</v>
      </c>
      <c r="B15" s="180" t="s">
        <v>589</v>
      </c>
      <c r="C15" s="193"/>
      <c r="D15" s="323">
        <v>1.3</v>
      </c>
      <c r="E15" s="168"/>
      <c r="F15" s="168">
        <v>1</v>
      </c>
      <c r="G15" s="168"/>
      <c r="H15" s="168"/>
      <c r="I15" s="323">
        <f>IF('FR 05007'!$H15&lt;&gt;"",'FR 05007'!$D15*'FR 05007'!$F15*'FR 05007'!$H15,'FR 05007'!$D15*'FR 05007'!$F15)</f>
        <v>1.3</v>
      </c>
    </row>
    <row r="16" spans="1:14" x14ac:dyDescent="0.3">
      <c r="A16" s="168">
        <v>30</v>
      </c>
      <c r="B16" s="180" t="s">
        <v>609</v>
      </c>
      <c r="C16" s="193"/>
      <c r="D16" s="323">
        <v>0.04</v>
      </c>
      <c r="E16" s="168" t="s">
        <v>610</v>
      </c>
      <c r="F16" s="168">
        <v>6.3</v>
      </c>
      <c r="G16" s="168" t="s">
        <v>710</v>
      </c>
      <c r="H16" s="168">
        <v>1</v>
      </c>
      <c r="I16" s="323">
        <f>IF('FR 05007'!$H16&lt;&gt;"",'FR 05007'!$D16*'FR 05007'!$F16*'FR 05007'!$H16,'FR 05007'!$D16*'FR 05007'!$F16)</f>
        <v>0.252</v>
      </c>
    </row>
    <row r="17" spans="1:11" ht="28.8" x14ac:dyDescent="0.3">
      <c r="A17" s="168">
        <v>40</v>
      </c>
      <c r="B17" s="180" t="s">
        <v>791</v>
      </c>
      <c r="C17" s="193" t="s">
        <v>1794</v>
      </c>
      <c r="D17" s="323">
        <v>0.35</v>
      </c>
      <c r="E17" s="168" t="s">
        <v>843</v>
      </c>
      <c r="F17" s="168">
        <v>1</v>
      </c>
      <c r="G17" s="168"/>
      <c r="H17" s="168"/>
      <c r="I17" s="323">
        <f>IF('FR 05007'!$H17&lt;&gt;"",'FR 05007'!$D17*'FR 05007'!$F17*'FR 05007'!$H17,'FR 05007'!$D17*'FR 05007'!$F17)</f>
        <v>0.35</v>
      </c>
    </row>
    <row r="18" spans="1:11" s="178" customFormat="1" x14ac:dyDescent="0.3">
      <c r="H18" s="574" t="s">
        <v>547</v>
      </c>
      <c r="I18" s="575">
        <f>SUM(I14:I17)</f>
        <v>2.5020000000000002</v>
      </c>
    </row>
    <row r="20" spans="1:11" s="178" customFormat="1" x14ac:dyDescent="0.3">
      <c r="A20" s="161"/>
      <c r="B20" s="161"/>
      <c r="C20" s="161"/>
      <c r="D20" s="161"/>
      <c r="E20" s="161"/>
      <c r="F20" s="161"/>
      <c r="G20" s="161"/>
      <c r="H20" s="326"/>
      <c r="I20" s="325"/>
      <c r="J20" s="161"/>
      <c r="K20" s="161"/>
    </row>
    <row r="21" spans="1:11" x14ac:dyDescent="0.3">
      <c r="A21" s="572" t="s">
        <v>544</v>
      </c>
      <c r="B21" s="572" t="s">
        <v>6</v>
      </c>
      <c r="C21" s="572" t="s">
        <v>549</v>
      </c>
      <c r="D21" s="572" t="s">
        <v>550</v>
      </c>
      <c r="E21" s="572" t="s">
        <v>551</v>
      </c>
      <c r="F21" s="572" t="s">
        <v>28</v>
      </c>
      <c r="G21" s="572" t="s">
        <v>691</v>
      </c>
      <c r="H21" s="572" t="s">
        <v>736</v>
      </c>
      <c r="I21" s="572" t="s">
        <v>547</v>
      </c>
    </row>
    <row r="22" spans="1:11" x14ac:dyDescent="0.3">
      <c r="A22" s="168">
        <v>10</v>
      </c>
      <c r="B22" s="168" t="s">
        <v>1796</v>
      </c>
      <c r="C22" s="168"/>
      <c r="D22" s="323">
        <v>10000</v>
      </c>
      <c r="E22" s="168" t="s">
        <v>1797</v>
      </c>
      <c r="F22" s="168">
        <v>2</v>
      </c>
      <c r="G22" s="168">
        <v>3000</v>
      </c>
      <c r="H22" s="168">
        <v>1</v>
      </c>
      <c r="I22" s="322">
        <f>D22*F22/G22*H22</f>
        <v>6.666666666666667</v>
      </c>
    </row>
    <row r="23" spans="1:11" x14ac:dyDescent="0.3">
      <c r="A23" s="178"/>
      <c r="B23" s="178"/>
      <c r="C23" s="178"/>
      <c r="D23" s="178"/>
      <c r="E23" s="178"/>
      <c r="F23" s="178"/>
      <c r="G23" s="178"/>
      <c r="H23" s="574" t="s">
        <v>547</v>
      </c>
      <c r="I23" s="575">
        <f>SUM(I22:I22)</f>
        <v>6.666666666666667</v>
      </c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1" spans="1:11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</row>
    <row r="34" spans="1:11" s="178" customFormat="1" x14ac:dyDescent="0.3">
      <c r="A34" s="161"/>
      <c r="B34" s="161"/>
      <c r="C34" s="161"/>
      <c r="D34" s="161"/>
      <c r="E34" s="161"/>
      <c r="F34" s="161"/>
      <c r="G34" s="161"/>
      <c r="H34" s="161"/>
      <c r="I34" s="161"/>
      <c r="J34" s="161"/>
      <c r="K34" s="161"/>
    </row>
  </sheetData>
  <pageMargins left="0.5" right="0.5" top="0.75" bottom="0.75" header="0.3" footer="0.3"/>
  <pageSetup paperSize="9" scale="72" orientation="landscape" r:id="rId1"/>
</worksheet>
</file>

<file path=xl/worksheets/sheet1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31"/>
  <sheetViews>
    <sheetView showGridLines="0" workbookViewId="0"/>
  </sheetViews>
  <sheetFormatPr defaultColWidth="9.109375" defaultRowHeight="14.4" x14ac:dyDescent="0.3"/>
  <cols>
    <col min="1" max="1" width="13.33203125" style="161" customWidth="1"/>
    <col min="2" max="2" width="12.5546875" style="161" customWidth="1"/>
    <col min="3" max="3" width="12.109375" style="161" customWidth="1"/>
    <col min="4" max="4" width="13.21875" style="161" customWidth="1"/>
    <col min="5" max="5" width="14.109375" style="161" customWidth="1"/>
    <col min="6" max="6" width="10.5546875" style="161" customWidth="1"/>
    <col min="7" max="7" width="7.33203125" style="161" customWidth="1"/>
    <col min="8" max="8" width="16.109375" style="161" customWidth="1"/>
    <col min="9" max="9" width="12.6640625" style="161" customWidth="1"/>
    <col min="10" max="10" width="11.33203125" style="161" customWidth="1"/>
    <col min="11" max="11" width="10" style="161" customWidth="1"/>
    <col min="12" max="12" width="10.5546875" style="161" customWidth="1"/>
    <col min="13" max="13" width="19.8867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N11+I15+I21</f>
        <v>7.3966666666666665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1719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1728</v>
      </c>
      <c r="D4" s="570" t="s">
        <v>541</v>
      </c>
      <c r="J4" s="570" t="s">
        <v>538</v>
      </c>
      <c r="M4" s="570" t="s">
        <v>539</v>
      </c>
      <c r="N4" s="336">
        <f>N1*N2</f>
        <v>7.3966666666666665</v>
      </c>
    </row>
    <row r="5" spans="1:14" x14ac:dyDescent="0.3">
      <c r="A5" s="570" t="s">
        <v>537</v>
      </c>
      <c r="B5" s="166" t="s">
        <v>1800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1117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x14ac:dyDescent="0.3">
      <c r="A10" s="168">
        <v>10</v>
      </c>
      <c r="B10" s="225" t="s">
        <v>1801</v>
      </c>
      <c r="C10" s="168"/>
      <c r="D10" s="323">
        <v>3.3</v>
      </c>
      <c r="E10" s="168">
        <v>0.1</v>
      </c>
      <c r="F10" s="168" t="s">
        <v>856</v>
      </c>
      <c r="G10" s="168"/>
      <c r="H10" s="219"/>
      <c r="I10" s="269"/>
      <c r="J10" s="624">
        <f>E10*G10</f>
        <v>0</v>
      </c>
      <c r="K10" s="219"/>
      <c r="L10" s="219">
        <v>900</v>
      </c>
      <c r="M10" s="168">
        <v>1</v>
      </c>
      <c r="N10" s="322">
        <f>D10*E10*M10</f>
        <v>0.33</v>
      </c>
    </row>
    <row r="11" spans="1:14" s="178" customFormat="1" x14ac:dyDescent="0.3">
      <c r="M11" s="620" t="s">
        <v>547</v>
      </c>
      <c r="N11" s="619">
        <f>SUM(N10:N10)</f>
        <v>0.33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ht="28.8" x14ac:dyDescent="0.3">
      <c r="A14" s="168">
        <v>10</v>
      </c>
      <c r="B14" s="180" t="s">
        <v>1802</v>
      </c>
      <c r="C14" s="193" t="s">
        <v>1803</v>
      </c>
      <c r="D14" s="323">
        <v>4</v>
      </c>
      <c r="E14" s="168" t="s">
        <v>856</v>
      </c>
      <c r="F14" s="168">
        <v>0.1</v>
      </c>
      <c r="G14" s="168"/>
      <c r="H14" s="168"/>
      <c r="I14" s="323">
        <f>IF('FR 05008'!$H14&lt;&gt;"",'FR 05008'!$D14*'FR 05008'!$F14*'FR 05008'!$H14,'FR 05008'!$D14*'FR 05008'!$F14)</f>
        <v>0.4</v>
      </c>
    </row>
    <row r="15" spans="1:14" s="178" customFormat="1" x14ac:dyDescent="0.3">
      <c r="H15" s="620" t="s">
        <v>547</v>
      </c>
      <c r="I15" s="619">
        <f>SUM(I14:I14)</f>
        <v>0.4</v>
      </c>
    </row>
    <row r="17" spans="1:11" s="178" customFormat="1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</row>
    <row r="18" spans="1:11" x14ac:dyDescent="0.3">
      <c r="H18" s="326"/>
      <c r="I18" s="325"/>
    </row>
    <row r="19" spans="1:11" x14ac:dyDescent="0.3">
      <c r="A19" s="572" t="s">
        <v>544</v>
      </c>
      <c r="B19" s="572" t="s">
        <v>6</v>
      </c>
      <c r="C19" s="572" t="s">
        <v>549</v>
      </c>
      <c r="D19" s="572" t="s">
        <v>550</v>
      </c>
      <c r="E19" s="572" t="s">
        <v>551</v>
      </c>
      <c r="F19" s="572" t="s">
        <v>28</v>
      </c>
      <c r="G19" s="572" t="s">
        <v>691</v>
      </c>
      <c r="H19" s="572" t="s">
        <v>736</v>
      </c>
      <c r="I19" s="572" t="s">
        <v>547</v>
      </c>
    </row>
    <row r="20" spans="1:11" x14ac:dyDescent="0.3">
      <c r="A20" s="168">
        <v>10</v>
      </c>
      <c r="B20" s="168" t="s">
        <v>1796</v>
      </c>
      <c r="C20" s="168"/>
      <c r="D20" s="323">
        <v>10000</v>
      </c>
      <c r="E20" s="168" t="s">
        <v>1797</v>
      </c>
      <c r="F20" s="168">
        <v>2</v>
      </c>
      <c r="G20" s="168">
        <v>3000</v>
      </c>
      <c r="H20" s="168">
        <v>1</v>
      </c>
      <c r="I20" s="322">
        <f>D20*F20/G20*H20</f>
        <v>6.666666666666667</v>
      </c>
    </row>
    <row r="21" spans="1:11" x14ac:dyDescent="0.3">
      <c r="A21" s="178"/>
      <c r="B21" s="178"/>
      <c r="C21" s="178"/>
      <c r="D21" s="178"/>
      <c r="E21" s="178"/>
      <c r="F21" s="178"/>
      <c r="G21" s="178"/>
      <c r="H21" s="574" t="s">
        <v>547</v>
      </c>
      <c r="I21" s="619">
        <f>SUM(I20:I20)</f>
        <v>6.666666666666667</v>
      </c>
    </row>
    <row r="26" spans="1:11" s="178" customFormat="1" x14ac:dyDescent="0.3">
      <c r="A26" s="161"/>
      <c r="B26" s="161"/>
      <c r="C26" s="161"/>
      <c r="D26" s="161"/>
      <c r="E26" s="161"/>
      <c r="F26" s="161"/>
      <c r="G26" s="161"/>
      <c r="H26" s="161"/>
      <c r="I26" s="161"/>
      <c r="J26" s="161"/>
      <c r="K26" s="161"/>
    </row>
    <row r="28" spans="1:11" s="178" customFormat="1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</row>
    <row r="31" spans="1:11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</row>
  </sheetData>
  <pageMargins left="0.5" right="0.5" top="0.75" bottom="0.75" header="0.3" footer="0.3"/>
  <pageSetup paperSize="9" scale="75" orientation="landscape" r:id="rId1"/>
</worksheet>
</file>

<file path=xl/worksheets/sheet1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33CC"/>
    <pageSetUpPr fitToPage="1"/>
  </sheetPr>
  <dimension ref="A1:N35"/>
  <sheetViews>
    <sheetView showGridLines="0" workbookViewId="0"/>
  </sheetViews>
  <sheetFormatPr defaultColWidth="9.109375" defaultRowHeight="14.4" x14ac:dyDescent="0.3"/>
  <cols>
    <col min="1" max="1" width="10.6640625" style="161" bestFit="1" customWidth="1"/>
    <col min="2" max="2" width="25.5546875" style="161" customWidth="1"/>
    <col min="3" max="3" width="35.109375" style="161" customWidth="1"/>
    <col min="4" max="4" width="11.109375" style="161" customWidth="1"/>
    <col min="5" max="5" width="12" style="161" customWidth="1"/>
    <col min="6" max="6" width="9.6640625" style="161" customWidth="1"/>
    <col min="7" max="7" width="13" style="161" customWidth="1"/>
    <col min="8" max="8" width="14" style="161" customWidth="1"/>
    <col min="9" max="9" width="12.21875" style="161" bestFit="1" customWidth="1"/>
    <col min="10" max="10" width="11.33203125" style="161" customWidth="1"/>
    <col min="11" max="11" width="9.5546875" style="161" bestFit="1" customWidth="1"/>
    <col min="12" max="12" width="9.33203125" style="161" customWidth="1"/>
    <col min="13" max="13" width="15.44140625" style="161" customWidth="1"/>
    <col min="14" max="14" width="15" style="161" customWidth="1"/>
    <col min="15" max="16384" width="9.109375" style="161"/>
  </cols>
  <sheetData>
    <row r="1" spans="1:14" x14ac:dyDescent="0.3">
      <c r="A1" s="566" t="s">
        <v>523</v>
      </c>
      <c r="B1" s="161" t="s">
        <v>524</v>
      </c>
      <c r="J1" s="566" t="s">
        <v>528</v>
      </c>
      <c r="K1" s="163">
        <v>81</v>
      </c>
      <c r="M1" s="566" t="s">
        <v>531</v>
      </c>
      <c r="N1" s="336">
        <f>E12+N17+I27+J33</f>
        <v>33.914407999999995</v>
      </c>
    </row>
    <row r="2" spans="1:14" x14ac:dyDescent="0.3">
      <c r="A2" s="566" t="s">
        <v>532</v>
      </c>
      <c r="B2" s="161" t="s">
        <v>1418</v>
      </c>
      <c r="M2" s="566" t="s">
        <v>533</v>
      </c>
      <c r="N2" s="165">
        <v>1</v>
      </c>
    </row>
    <row r="3" spans="1:14" x14ac:dyDescent="0.3">
      <c r="A3" s="566" t="s">
        <v>534</v>
      </c>
      <c r="B3" s="161" t="s">
        <v>1804</v>
      </c>
      <c r="J3" s="566" t="s">
        <v>536</v>
      </c>
    </row>
    <row r="4" spans="1:14" x14ac:dyDescent="0.3">
      <c r="A4" s="566" t="s">
        <v>537</v>
      </c>
      <c r="B4" s="166" t="s">
        <v>255</v>
      </c>
      <c r="J4" s="566" t="s">
        <v>538</v>
      </c>
      <c r="M4" s="566" t="s">
        <v>539</v>
      </c>
      <c r="N4" s="336">
        <f>N1*N2</f>
        <v>33.914407999999995</v>
      </c>
    </row>
    <row r="5" spans="1:14" x14ac:dyDescent="0.3">
      <c r="A5" s="566" t="s">
        <v>540</v>
      </c>
      <c r="B5" s="161" t="s">
        <v>36</v>
      </c>
      <c r="J5" s="566" t="s">
        <v>541</v>
      </c>
    </row>
    <row r="6" spans="1:14" x14ac:dyDescent="0.3">
      <c r="A6" s="566" t="s">
        <v>542</v>
      </c>
      <c r="B6" s="161" t="s">
        <v>1805</v>
      </c>
    </row>
    <row r="8" spans="1:14" x14ac:dyDescent="0.3">
      <c r="A8" s="567" t="s">
        <v>544</v>
      </c>
      <c r="B8" s="567" t="s">
        <v>545</v>
      </c>
      <c r="C8" s="567" t="s">
        <v>546</v>
      </c>
      <c r="D8" s="567" t="s">
        <v>28</v>
      </c>
      <c r="E8" s="567" t="s">
        <v>547</v>
      </c>
    </row>
    <row r="9" spans="1:14" x14ac:dyDescent="0.3">
      <c r="A9" s="168">
        <v>10</v>
      </c>
      <c r="B9" s="168" t="s">
        <v>1806</v>
      </c>
      <c r="C9" s="323">
        <f>'FR 06001'!N1</f>
        <v>6.508775</v>
      </c>
      <c r="D9" s="168">
        <v>1</v>
      </c>
      <c r="E9" s="323">
        <f>C9*D9</f>
        <v>6.508775</v>
      </c>
    </row>
    <row r="10" spans="1:14" x14ac:dyDescent="0.3">
      <c r="A10" s="168">
        <v>20</v>
      </c>
      <c r="B10" s="168" t="s">
        <v>1807</v>
      </c>
      <c r="C10" s="323">
        <f>'FR 06002'!N1</f>
        <v>4.6268039999999999</v>
      </c>
      <c r="D10" s="168">
        <v>2</v>
      </c>
      <c r="E10" s="323">
        <f>C10*D10</f>
        <v>9.2536079999999998</v>
      </c>
    </row>
    <row r="11" spans="1:14" x14ac:dyDescent="0.3">
      <c r="A11" s="168">
        <v>30</v>
      </c>
      <c r="B11" s="168" t="s">
        <v>1808</v>
      </c>
      <c r="C11" s="323">
        <f>'FR 06003'!N1</f>
        <v>4.6570125000000004</v>
      </c>
      <c r="D11" s="168">
        <v>2</v>
      </c>
      <c r="E11" s="323">
        <f>C11*D11</f>
        <v>9.3140250000000009</v>
      </c>
    </row>
    <row r="12" spans="1:14" x14ac:dyDescent="0.3">
      <c r="D12" s="568" t="s">
        <v>547</v>
      </c>
      <c r="E12" s="617">
        <f>SUM(E9:E11)</f>
        <v>25.076408000000001</v>
      </c>
    </row>
    <row r="14" spans="1:14" x14ac:dyDescent="0.3">
      <c r="A14" s="567" t="s">
        <v>544</v>
      </c>
      <c r="B14" s="567" t="s">
        <v>581</v>
      </c>
      <c r="C14" s="567" t="s">
        <v>549</v>
      </c>
      <c r="D14" s="567" t="s">
        <v>550</v>
      </c>
      <c r="E14" s="567" t="s">
        <v>567</v>
      </c>
      <c r="F14" s="567" t="s">
        <v>568</v>
      </c>
      <c r="G14" s="567" t="s">
        <v>569</v>
      </c>
      <c r="H14" s="567" t="s">
        <v>570</v>
      </c>
      <c r="I14" s="567" t="s">
        <v>582</v>
      </c>
      <c r="J14" s="567" t="s">
        <v>583</v>
      </c>
      <c r="K14" s="567" t="s">
        <v>584</v>
      </c>
      <c r="L14" s="567" t="s">
        <v>585</v>
      </c>
      <c r="M14" s="567" t="s">
        <v>28</v>
      </c>
      <c r="N14" s="567" t="s">
        <v>547</v>
      </c>
    </row>
    <row r="15" spans="1:14" ht="28.8" x14ac:dyDescent="0.3">
      <c r="A15" s="168">
        <v>10</v>
      </c>
      <c r="B15" s="225" t="s">
        <v>1809</v>
      </c>
      <c r="C15" s="168" t="s">
        <v>1810</v>
      </c>
      <c r="D15" s="323">
        <v>1</v>
      </c>
      <c r="E15" s="168"/>
      <c r="F15" s="168"/>
      <c r="G15" s="168"/>
      <c r="H15" s="219"/>
      <c r="I15" s="220"/>
      <c r="J15" s="221"/>
      <c r="K15" s="219"/>
      <c r="L15" s="219"/>
      <c r="M15" s="227">
        <v>2</v>
      </c>
      <c r="N15" s="322">
        <f>IF(J15="",D15*M15,D15*J15*K15*L15*M15)</f>
        <v>2</v>
      </c>
    </row>
    <row r="16" spans="1:14" x14ac:dyDescent="0.3">
      <c r="A16" s="168">
        <v>20</v>
      </c>
      <c r="B16" s="225" t="s">
        <v>1811</v>
      </c>
      <c r="C16" s="168" t="s">
        <v>1812</v>
      </c>
      <c r="D16" s="323">
        <v>1</v>
      </c>
      <c r="E16" s="168"/>
      <c r="F16" s="168"/>
      <c r="G16" s="168"/>
      <c r="H16" s="219"/>
      <c r="I16" s="220"/>
      <c r="J16" s="221"/>
      <c r="K16" s="219"/>
      <c r="L16" s="219"/>
      <c r="M16" s="332">
        <v>2</v>
      </c>
      <c r="N16" s="322">
        <f>IF(J16="",D16*M16,D16*J16*K16*L16*M16)</f>
        <v>2</v>
      </c>
    </row>
    <row r="17" spans="1:14" s="178" customFormat="1" x14ac:dyDescent="0.3">
      <c r="M17" s="614" t="s">
        <v>547</v>
      </c>
      <c r="N17" s="617">
        <f>SUM(N15:N16)</f>
        <v>4</v>
      </c>
    </row>
    <row r="19" spans="1:14" s="178" customFormat="1" x14ac:dyDescent="0.3">
      <c r="A19" s="567" t="s">
        <v>544</v>
      </c>
      <c r="B19" s="567" t="s">
        <v>548</v>
      </c>
      <c r="C19" s="567" t="s">
        <v>549</v>
      </c>
      <c r="D19" s="567" t="s">
        <v>550</v>
      </c>
      <c r="E19" s="567" t="s">
        <v>551</v>
      </c>
      <c r="F19" s="567" t="s">
        <v>28</v>
      </c>
      <c r="G19" s="567" t="s">
        <v>552</v>
      </c>
      <c r="H19" s="567" t="s">
        <v>553</v>
      </c>
      <c r="I19" s="567" t="s">
        <v>547</v>
      </c>
    </row>
    <row r="20" spans="1:14" x14ac:dyDescent="0.3">
      <c r="A20" s="168">
        <v>10</v>
      </c>
      <c r="B20" s="180" t="s">
        <v>1745</v>
      </c>
      <c r="C20" s="193" t="s">
        <v>1813</v>
      </c>
      <c r="D20" s="323">
        <v>0.13</v>
      </c>
      <c r="E20" s="168"/>
      <c r="F20" s="168">
        <v>2</v>
      </c>
      <c r="G20" s="168"/>
      <c r="H20" s="168">
        <v>1</v>
      </c>
      <c r="I20" s="323">
        <f t="shared" ref="I20:I26" si="0">D20*F20*H20</f>
        <v>0.26</v>
      </c>
    </row>
    <row r="21" spans="1:14" ht="28.8" x14ac:dyDescent="0.3">
      <c r="A21" s="168">
        <v>20</v>
      </c>
      <c r="B21" s="180" t="s">
        <v>1735</v>
      </c>
      <c r="C21" s="193" t="s">
        <v>1814</v>
      </c>
      <c r="D21" s="323">
        <v>0.5</v>
      </c>
      <c r="E21" s="168"/>
      <c r="F21" s="168">
        <v>2</v>
      </c>
      <c r="G21" s="184" t="s">
        <v>1748</v>
      </c>
      <c r="H21" s="168">
        <v>1.5</v>
      </c>
      <c r="I21" s="323">
        <f t="shared" si="0"/>
        <v>1.5</v>
      </c>
    </row>
    <row r="22" spans="1:14" x14ac:dyDescent="0.3">
      <c r="A22" s="168">
        <v>30</v>
      </c>
      <c r="B22" s="180" t="s">
        <v>1737</v>
      </c>
      <c r="C22" s="193" t="s">
        <v>1815</v>
      </c>
      <c r="D22" s="323">
        <v>0.25</v>
      </c>
      <c r="E22" s="168"/>
      <c r="F22" s="168">
        <v>2</v>
      </c>
      <c r="G22" s="168"/>
      <c r="H22" s="168">
        <v>1</v>
      </c>
      <c r="I22" s="323">
        <f t="shared" si="0"/>
        <v>0.5</v>
      </c>
      <c r="M22" s="615"/>
    </row>
    <row r="23" spans="1:14" x14ac:dyDescent="0.3">
      <c r="A23" s="168">
        <v>40</v>
      </c>
      <c r="B23" s="180" t="s">
        <v>760</v>
      </c>
      <c r="C23" s="193" t="s">
        <v>1816</v>
      </c>
      <c r="D23" s="323">
        <v>1.9E-2</v>
      </c>
      <c r="E23" s="168"/>
      <c r="F23" s="168">
        <v>2</v>
      </c>
      <c r="G23" s="168"/>
      <c r="H23" s="168">
        <v>1</v>
      </c>
      <c r="I23" s="323">
        <f t="shared" si="0"/>
        <v>3.7999999999999999E-2</v>
      </c>
    </row>
    <row r="24" spans="1:14" x14ac:dyDescent="0.3">
      <c r="A24" s="168">
        <v>50</v>
      </c>
      <c r="B24" s="180" t="s">
        <v>1745</v>
      </c>
      <c r="C24" s="193" t="s">
        <v>1817</v>
      </c>
      <c r="D24" s="323">
        <v>0.13</v>
      </c>
      <c r="E24" s="168"/>
      <c r="F24" s="168">
        <v>2</v>
      </c>
      <c r="G24" s="168"/>
      <c r="H24" s="168">
        <v>1</v>
      </c>
      <c r="I24" s="323">
        <f t="shared" si="0"/>
        <v>0.26</v>
      </c>
    </row>
    <row r="25" spans="1:14" x14ac:dyDescent="0.3">
      <c r="A25" s="168">
        <v>60</v>
      </c>
      <c r="B25" s="180" t="s">
        <v>557</v>
      </c>
      <c r="C25" s="193" t="s">
        <v>1818</v>
      </c>
      <c r="D25" s="323">
        <v>0.06</v>
      </c>
      <c r="E25" s="168"/>
      <c r="F25" s="168">
        <v>2</v>
      </c>
      <c r="G25" s="184"/>
      <c r="H25" s="168">
        <v>1</v>
      </c>
      <c r="I25" s="323">
        <f t="shared" si="0"/>
        <v>0.12</v>
      </c>
    </row>
    <row r="26" spans="1:14" x14ac:dyDescent="0.3">
      <c r="A26" s="168">
        <v>70</v>
      </c>
      <c r="B26" s="180" t="s">
        <v>1735</v>
      </c>
      <c r="C26" s="193" t="s">
        <v>1819</v>
      </c>
      <c r="D26" s="323">
        <v>0.5</v>
      </c>
      <c r="E26" s="168"/>
      <c r="F26" s="168">
        <v>4</v>
      </c>
      <c r="G26" s="168"/>
      <c r="H26" s="168">
        <v>1</v>
      </c>
      <c r="I26" s="323">
        <f t="shared" si="0"/>
        <v>2</v>
      </c>
    </row>
    <row r="27" spans="1:14" s="178" customFormat="1" x14ac:dyDescent="0.3">
      <c r="H27" s="614" t="s">
        <v>547</v>
      </c>
      <c r="I27" s="617">
        <f>SUM(I20:I26)</f>
        <v>4.6779999999999999</v>
      </c>
    </row>
    <row r="29" spans="1:14" s="178" customFormat="1" x14ac:dyDescent="0.3">
      <c r="A29" s="567" t="s">
        <v>544</v>
      </c>
      <c r="B29" s="567" t="s">
        <v>566</v>
      </c>
      <c r="C29" s="567" t="s">
        <v>549</v>
      </c>
      <c r="D29" s="567" t="s">
        <v>550</v>
      </c>
      <c r="E29" s="567" t="s">
        <v>567</v>
      </c>
      <c r="F29" s="567" t="s">
        <v>568</v>
      </c>
      <c r="G29" s="567" t="s">
        <v>569</v>
      </c>
      <c r="H29" s="567" t="s">
        <v>570</v>
      </c>
      <c r="I29" s="567" t="s">
        <v>28</v>
      </c>
      <c r="J29" s="567" t="s">
        <v>547</v>
      </c>
    </row>
    <row r="30" spans="1:14" x14ac:dyDescent="0.3">
      <c r="A30" s="168">
        <v>10</v>
      </c>
      <c r="B30" s="225" t="s">
        <v>684</v>
      </c>
      <c r="C30" s="184" t="s">
        <v>1820</v>
      </c>
      <c r="D30" s="168">
        <v>0.04</v>
      </c>
      <c r="E30" s="168">
        <v>4</v>
      </c>
      <c r="F30" s="245" t="s">
        <v>573</v>
      </c>
      <c r="G30" s="168">
        <v>40</v>
      </c>
      <c r="H30" s="171" t="s">
        <v>573</v>
      </c>
      <c r="I30" s="327">
        <v>2</v>
      </c>
      <c r="J30" s="323">
        <f>D30*I30</f>
        <v>0.08</v>
      </c>
    </row>
    <row r="31" spans="1:14" x14ac:dyDescent="0.3">
      <c r="A31" s="168">
        <v>20</v>
      </c>
      <c r="B31" s="225" t="s">
        <v>684</v>
      </c>
      <c r="C31" s="184" t="s">
        <v>1821</v>
      </c>
      <c r="D31" s="168">
        <v>0.01</v>
      </c>
      <c r="E31" s="168">
        <v>3</v>
      </c>
      <c r="F31" s="245" t="s">
        <v>573</v>
      </c>
      <c r="G31" s="168">
        <v>10</v>
      </c>
      <c r="H31" s="171" t="s">
        <v>573</v>
      </c>
      <c r="I31" s="327">
        <v>4</v>
      </c>
      <c r="J31" s="323">
        <f>D31*I31</f>
        <v>0.04</v>
      </c>
    </row>
    <row r="32" spans="1:14" x14ac:dyDescent="0.3">
      <c r="A32" s="168">
        <v>30</v>
      </c>
      <c r="B32" s="244" t="s">
        <v>618</v>
      </c>
      <c r="C32" s="184" t="s">
        <v>1822</v>
      </c>
      <c r="D32" s="168">
        <v>0.02</v>
      </c>
      <c r="E32" s="168">
        <v>4</v>
      </c>
      <c r="F32" s="245" t="s">
        <v>573</v>
      </c>
      <c r="G32" s="168"/>
      <c r="H32" s="171"/>
      <c r="I32" s="327">
        <v>2</v>
      </c>
      <c r="J32" s="323">
        <f>D32*I32</f>
        <v>0.04</v>
      </c>
    </row>
    <row r="33" spans="1:10" s="178" customFormat="1" x14ac:dyDescent="0.3">
      <c r="B33" s="161"/>
      <c r="I33" s="614" t="s">
        <v>547</v>
      </c>
      <c r="J33" s="617">
        <f>SUM(J30:J32)</f>
        <v>0.16</v>
      </c>
    </row>
    <row r="34" spans="1:10" x14ac:dyDescent="0.3">
      <c r="H34" s="326"/>
      <c r="I34" s="325"/>
    </row>
    <row r="35" spans="1:10" s="178" customFormat="1" x14ac:dyDescent="0.3">
      <c r="A35" s="161"/>
      <c r="B35" s="161"/>
      <c r="C35" s="161"/>
      <c r="D35" s="161"/>
      <c r="E35" s="161"/>
      <c r="F35" s="161"/>
      <c r="G35" s="161"/>
      <c r="H35" s="161"/>
      <c r="I35" s="161"/>
    </row>
  </sheetData>
  <pageMargins left="0.5" right="0.5" top="0.75" bottom="0.75" header="0.3" footer="0.3"/>
  <pageSetup paperSize="9" scale="59" orientation="landscape" r:id="rId1"/>
  <rowBreaks count="1" manualBreakCount="1">
    <brk id="27" max="13" man="1"/>
  </rowBreaks>
  <drawing r:id="rId2"/>
</worksheet>
</file>

<file path=xl/worksheets/sheet1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9.109375" style="161" customWidth="1"/>
    <col min="7" max="7" width="13.33203125" style="161" customWidth="1"/>
    <col min="8" max="8" width="14.44140625" style="161" customWidth="1"/>
    <col min="9" max="9" width="15.5546875" style="161" customWidth="1"/>
    <col min="10" max="10" width="11.21875" style="161" customWidth="1"/>
    <col min="11" max="11" width="8.77734375" style="161" customWidth="1"/>
    <col min="12" max="12" width="9.44140625" style="161" customWidth="1"/>
    <col min="13" max="13" width="14.44140625" style="161" customWidth="1"/>
    <col min="14" max="14" width="11.8867187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N11+I18</f>
        <v>6.508775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1804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1806</v>
      </c>
      <c r="D4" s="570" t="s">
        <v>541</v>
      </c>
      <c r="J4" s="570" t="s">
        <v>538</v>
      </c>
      <c r="M4" s="570" t="s">
        <v>539</v>
      </c>
      <c r="N4" s="336">
        <f>N1*N2</f>
        <v>6.508775</v>
      </c>
    </row>
    <row r="5" spans="1:14" x14ac:dyDescent="0.3">
      <c r="A5" s="570" t="s">
        <v>537</v>
      </c>
      <c r="B5" s="166" t="s">
        <v>257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1117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225" t="s">
        <v>1823</v>
      </c>
      <c r="C10" s="168"/>
      <c r="D10" s="323">
        <v>3.3</v>
      </c>
      <c r="E10" s="168">
        <v>0.1</v>
      </c>
      <c r="F10" s="168" t="s">
        <v>644</v>
      </c>
      <c r="G10" s="168">
        <v>0.05</v>
      </c>
      <c r="H10" s="219" t="s">
        <v>644</v>
      </c>
      <c r="I10" s="269" t="s">
        <v>1824</v>
      </c>
      <c r="J10" s="380">
        <f>E10*G10</f>
        <v>5.000000000000001E-3</v>
      </c>
      <c r="K10" s="228">
        <v>3.5000000000000003E-2</v>
      </c>
      <c r="L10" s="219">
        <v>1210</v>
      </c>
      <c r="M10" s="168">
        <v>1</v>
      </c>
      <c r="N10" s="322">
        <f>IF(J10="",D10*M10,D10*J10*K10*L10*M10)</f>
        <v>0.69877500000000015</v>
      </c>
    </row>
    <row r="11" spans="1:14" s="178" customFormat="1" x14ac:dyDescent="0.3">
      <c r="M11" s="574" t="s">
        <v>547</v>
      </c>
      <c r="N11" s="619">
        <f>SUM(N10:N10)</f>
        <v>0.69877500000000015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ht="43.2" x14ac:dyDescent="0.3">
      <c r="A14" s="168">
        <v>10</v>
      </c>
      <c r="B14" s="180" t="s">
        <v>589</v>
      </c>
      <c r="C14" s="193"/>
      <c r="D14" s="323">
        <v>1.3</v>
      </c>
      <c r="E14" s="168"/>
      <c r="F14" s="168">
        <v>1</v>
      </c>
      <c r="G14" s="168"/>
      <c r="H14" s="168"/>
      <c r="I14" s="323">
        <f>IF('FR 06001'!$H14&lt;&gt;"",'FR 06001'!$D14*'FR 06001'!$F14*'FR 06001'!$H14,'FR 06001'!$D14*'FR 06001'!$F14)</f>
        <v>1.3</v>
      </c>
    </row>
    <row r="15" spans="1:14" ht="28.8" x14ac:dyDescent="0.3">
      <c r="A15" s="168">
        <v>20</v>
      </c>
      <c r="B15" s="180" t="s">
        <v>609</v>
      </c>
      <c r="C15" s="193" t="s">
        <v>1825</v>
      </c>
      <c r="D15" s="323">
        <v>0.04</v>
      </c>
      <c r="E15" s="168" t="s">
        <v>610</v>
      </c>
      <c r="F15" s="168">
        <v>120.5</v>
      </c>
      <c r="G15" s="184" t="s">
        <v>1826</v>
      </c>
      <c r="H15" s="168">
        <v>0.5</v>
      </c>
      <c r="I15" s="323">
        <f>IF('FR 06001'!$H15&lt;&gt;"",'FR 06001'!$D15*'FR 06001'!$F15*'FR 06001'!$H15,'FR 06001'!$D15*'FR 06001'!$F15)</f>
        <v>2.41</v>
      </c>
    </row>
    <row r="16" spans="1:14" ht="28.8" x14ac:dyDescent="0.3">
      <c r="A16" s="168">
        <v>30</v>
      </c>
      <c r="B16" s="180" t="s">
        <v>791</v>
      </c>
      <c r="C16" s="193" t="s">
        <v>1827</v>
      </c>
      <c r="D16" s="323">
        <v>0.35</v>
      </c>
      <c r="E16" s="168"/>
      <c r="F16" s="168">
        <v>3</v>
      </c>
      <c r="G16" s="168"/>
      <c r="H16" s="168"/>
      <c r="I16" s="323">
        <f>IF('FR 06001'!$H16&lt;&gt;"",'FR 06001'!$D16*'FR 06001'!$F16*'FR 06001'!$H16,'FR 06001'!$D16*'FR 06001'!$F16)</f>
        <v>1.0499999999999998</v>
      </c>
    </row>
    <row r="17" spans="1:11" s="248" customFormat="1" ht="43.2" x14ac:dyDescent="0.3">
      <c r="A17" s="184">
        <v>40</v>
      </c>
      <c r="B17" s="180" t="s">
        <v>791</v>
      </c>
      <c r="C17" s="193" t="s">
        <v>1828</v>
      </c>
      <c r="D17" s="362">
        <v>0.35</v>
      </c>
      <c r="E17" s="184"/>
      <c r="F17" s="184">
        <v>2</v>
      </c>
      <c r="G17" s="180" t="s">
        <v>1829</v>
      </c>
      <c r="H17" s="184">
        <v>1.5</v>
      </c>
      <c r="I17" s="362">
        <f>IF('FR 06001'!$H17&lt;&gt;"",'FR 06001'!$D17*'FR 06001'!$F17*'FR 06001'!$H17,'FR 06001'!$D17*'FR 06001'!$F17)</f>
        <v>1.0499999999999998</v>
      </c>
    </row>
    <row r="18" spans="1:11" s="178" customFormat="1" x14ac:dyDescent="0.3">
      <c r="H18" s="620" t="s">
        <v>547</v>
      </c>
      <c r="I18" s="619">
        <f>SUM(I14:I17)</f>
        <v>5.81</v>
      </c>
    </row>
    <row r="21" spans="1:11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</row>
    <row r="23" spans="1:11" s="178" customFormat="1" x14ac:dyDescent="0.3">
      <c r="A23" s="161"/>
      <c r="B23" s="161"/>
      <c r="C23" s="161"/>
      <c r="D23" s="161"/>
      <c r="E23" s="161"/>
      <c r="F23" s="161"/>
      <c r="G23" s="161"/>
      <c r="H23" s="161"/>
      <c r="I23" s="161"/>
      <c r="J23" s="161"/>
      <c r="K23" s="161"/>
    </row>
    <row r="26" spans="1:11" s="178" customFormat="1" x14ac:dyDescent="0.3">
      <c r="A26" s="161"/>
      <c r="B26" s="161"/>
      <c r="C26" s="161"/>
      <c r="D26" s="161"/>
      <c r="E26" s="161"/>
      <c r="F26" s="161"/>
      <c r="G26" s="161"/>
      <c r="H26" s="161"/>
      <c r="I26" s="161"/>
      <c r="J26" s="161"/>
      <c r="K26" s="161"/>
    </row>
  </sheetData>
  <pageMargins left="0.5" right="0.5" top="0.75" bottom="0.75" header="0.3" footer="0.3"/>
  <pageSetup paperSize="9" scale="74" orientation="landscape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-0.249977111117893"/>
    <pageSetUpPr fitToPage="1"/>
  </sheetPr>
  <dimension ref="A1:N206"/>
  <sheetViews>
    <sheetView showGridLines="0" workbookViewId="0"/>
  </sheetViews>
  <sheetFormatPr defaultColWidth="11.44140625" defaultRowHeight="14.4" x14ac:dyDescent="0.3"/>
  <cols>
    <col min="1" max="1" width="11.44140625" style="196"/>
    <col min="2" max="2" width="36.6640625" style="196" customWidth="1"/>
    <col min="3" max="3" width="39" style="196" customWidth="1"/>
    <col min="4" max="12" width="11.44140625" style="196"/>
    <col min="13" max="13" width="15.33203125" style="196" customWidth="1"/>
    <col min="14" max="14" width="17.109375" style="196" customWidth="1"/>
    <col min="15" max="16384" width="11.44140625" style="196"/>
  </cols>
  <sheetData>
    <row r="1" spans="1:14" x14ac:dyDescent="0.3">
      <c r="A1" s="247" t="s">
        <v>523</v>
      </c>
      <c r="B1" s="248" t="s">
        <v>524</v>
      </c>
      <c r="J1" s="249" t="s">
        <v>528</v>
      </c>
      <c r="K1" s="250">
        <v>81</v>
      </c>
      <c r="M1" s="249" t="s">
        <v>531</v>
      </c>
      <c r="N1" s="251">
        <f>E16+N32+I60+J74+I78</f>
        <v>695.44014461382676</v>
      </c>
    </row>
    <row r="2" spans="1:14" x14ac:dyDescent="0.3">
      <c r="A2" s="247" t="s">
        <v>532</v>
      </c>
      <c r="B2" s="248" t="s">
        <v>621</v>
      </c>
      <c r="M2" s="249" t="s">
        <v>533</v>
      </c>
      <c r="N2" s="252">
        <v>1</v>
      </c>
    </row>
    <row r="3" spans="1:14" x14ac:dyDescent="0.3">
      <c r="A3" s="247" t="s">
        <v>534</v>
      </c>
      <c r="B3" s="196" t="s">
        <v>622</v>
      </c>
      <c r="J3" s="249" t="s">
        <v>536</v>
      </c>
    </row>
    <row r="4" spans="1:14" x14ac:dyDescent="0.3">
      <c r="A4" s="247" t="s">
        <v>537</v>
      </c>
      <c r="B4" s="319" t="s">
        <v>54</v>
      </c>
      <c r="J4" s="249" t="s">
        <v>538</v>
      </c>
      <c r="M4" s="249" t="s">
        <v>539</v>
      </c>
      <c r="N4" s="251">
        <f>N1</f>
        <v>695.44014461382676</v>
      </c>
    </row>
    <row r="5" spans="1:14" x14ac:dyDescent="0.3">
      <c r="A5" s="247" t="s">
        <v>540</v>
      </c>
      <c r="B5" s="248" t="s">
        <v>36</v>
      </c>
      <c r="J5" s="249" t="s">
        <v>541</v>
      </c>
    </row>
    <row r="6" spans="1:14" x14ac:dyDescent="0.3">
      <c r="A6" s="247" t="s">
        <v>542</v>
      </c>
      <c r="B6" s="248" t="s">
        <v>623</v>
      </c>
    </row>
    <row r="7" spans="1:14" x14ac:dyDescent="0.3">
      <c r="G7" s="253"/>
      <c r="H7" s="253"/>
      <c r="I7" s="253"/>
      <c r="J7" s="253"/>
      <c r="K7" s="253"/>
      <c r="L7" s="253"/>
      <c r="M7" s="253"/>
    </row>
    <row r="8" spans="1:14" x14ac:dyDescent="0.3">
      <c r="A8" s="254" t="s">
        <v>544</v>
      </c>
      <c r="B8" s="254" t="s">
        <v>545</v>
      </c>
      <c r="C8" s="254" t="s">
        <v>546</v>
      </c>
      <c r="D8" s="254" t="s">
        <v>28</v>
      </c>
      <c r="E8" s="254" t="s">
        <v>547</v>
      </c>
      <c r="G8" s="255"/>
      <c r="H8" s="256"/>
      <c r="I8" s="255"/>
      <c r="J8" s="257"/>
      <c r="K8" s="255"/>
      <c r="L8" s="255"/>
      <c r="M8" s="253"/>
    </row>
    <row r="9" spans="1:14" x14ac:dyDescent="0.3">
      <c r="A9" s="184">
        <v>10</v>
      </c>
      <c r="B9" s="258" t="s">
        <v>57</v>
      </c>
      <c r="C9" s="259">
        <f>'BR 03001'!N1</f>
        <v>2.0579999999999998</v>
      </c>
      <c r="D9" s="193">
        <v>1</v>
      </c>
      <c r="E9" s="260">
        <f>C9*D9</f>
        <v>2.0579999999999998</v>
      </c>
      <c r="G9" s="255"/>
      <c r="H9" s="256"/>
      <c r="I9" s="255"/>
      <c r="J9" s="261"/>
      <c r="K9" s="255"/>
      <c r="L9" s="255"/>
      <c r="M9" s="253"/>
    </row>
    <row r="10" spans="1:14" x14ac:dyDescent="0.3">
      <c r="A10" s="184">
        <v>20</v>
      </c>
      <c r="B10" s="258" t="s">
        <v>59</v>
      </c>
      <c r="C10" s="259">
        <f>'BR 03002'!N1</f>
        <v>2.073</v>
      </c>
      <c r="D10" s="193">
        <v>1</v>
      </c>
      <c r="E10" s="260">
        <f t="shared" ref="E10:E15" si="0">C10*D10</f>
        <v>2.073</v>
      </c>
      <c r="G10" s="255"/>
      <c r="H10" s="256"/>
      <c r="I10" s="255"/>
      <c r="J10" s="261"/>
      <c r="K10" s="255"/>
      <c r="L10" s="255"/>
      <c r="M10" s="253"/>
    </row>
    <row r="11" spans="1:14" x14ac:dyDescent="0.3">
      <c r="A11" s="184">
        <v>30</v>
      </c>
      <c r="B11" s="258" t="s">
        <v>624</v>
      </c>
      <c r="C11" s="259">
        <f>'BR 03007'!N1</f>
        <v>3.3639008000000001</v>
      </c>
      <c r="D11" s="193">
        <v>1</v>
      </c>
      <c r="E11" s="260">
        <f t="shared" si="0"/>
        <v>3.3639008000000001</v>
      </c>
      <c r="G11" s="255"/>
      <c r="H11" s="256"/>
      <c r="I11" s="255"/>
      <c r="J11" s="261"/>
      <c r="K11" s="255"/>
      <c r="L11" s="255"/>
      <c r="M11" s="253"/>
    </row>
    <row r="12" spans="1:14" s="262" customFormat="1" x14ac:dyDescent="0.3">
      <c r="A12" s="184">
        <v>40</v>
      </c>
      <c r="B12" s="258" t="s">
        <v>61</v>
      </c>
      <c r="C12" s="259">
        <f>'BR 03003'!N1</f>
        <v>97</v>
      </c>
      <c r="D12" s="193">
        <v>2</v>
      </c>
      <c r="E12" s="260">
        <f t="shared" si="0"/>
        <v>194</v>
      </c>
      <c r="G12" s="255"/>
      <c r="H12" s="256"/>
      <c r="I12" s="255"/>
      <c r="J12" s="263"/>
      <c r="K12" s="255"/>
      <c r="L12" s="255"/>
      <c r="M12" s="264"/>
    </row>
    <row r="13" spans="1:14" s="262" customFormat="1" x14ac:dyDescent="0.3">
      <c r="A13" s="184">
        <v>50</v>
      </c>
      <c r="B13" s="258" t="s">
        <v>63</v>
      </c>
      <c r="C13" s="259">
        <f>'BR 03004'!N1</f>
        <v>30</v>
      </c>
      <c r="D13" s="193">
        <v>1</v>
      </c>
      <c r="E13" s="260">
        <f t="shared" si="0"/>
        <v>30</v>
      </c>
      <c r="G13" s="255"/>
      <c r="H13" s="256"/>
      <c r="I13" s="255"/>
      <c r="J13" s="263"/>
      <c r="K13" s="255"/>
      <c r="L13" s="255"/>
      <c r="M13" s="264"/>
    </row>
    <row r="14" spans="1:14" x14ac:dyDescent="0.3">
      <c r="A14" s="184">
        <v>60</v>
      </c>
      <c r="B14" s="258" t="s">
        <v>18</v>
      </c>
      <c r="C14" s="259">
        <f>'BR 03005'!N1</f>
        <v>2.04867017216</v>
      </c>
      <c r="D14" s="193">
        <v>1</v>
      </c>
      <c r="E14" s="260">
        <f t="shared" si="0"/>
        <v>2.04867017216</v>
      </c>
      <c r="G14" s="253"/>
      <c r="H14" s="253"/>
      <c r="I14" s="253"/>
      <c r="J14" s="253"/>
      <c r="K14" s="253"/>
      <c r="L14" s="253"/>
      <c r="M14" s="253"/>
    </row>
    <row r="15" spans="1:14" x14ac:dyDescent="0.3">
      <c r="A15" s="184">
        <v>70</v>
      </c>
      <c r="B15" s="258" t="s">
        <v>19</v>
      </c>
      <c r="C15" s="259">
        <f>'BR 03006'!N1</f>
        <v>3.7874069749999997</v>
      </c>
      <c r="D15" s="193">
        <v>1</v>
      </c>
      <c r="E15" s="260">
        <f t="shared" si="0"/>
        <v>3.7874069749999997</v>
      </c>
    </row>
    <row r="16" spans="1:14" x14ac:dyDescent="0.3">
      <c r="D16" s="265" t="s">
        <v>547</v>
      </c>
      <c r="E16" s="266">
        <f>SUM(E9:E15)</f>
        <v>237.33097794716002</v>
      </c>
    </row>
    <row r="18" spans="1:14" x14ac:dyDescent="0.3">
      <c r="A18" s="254" t="s">
        <v>544</v>
      </c>
      <c r="B18" s="254" t="s">
        <v>581</v>
      </c>
      <c r="C18" s="254" t="s">
        <v>549</v>
      </c>
      <c r="D18" s="254" t="s">
        <v>550</v>
      </c>
      <c r="E18" s="254" t="s">
        <v>567</v>
      </c>
      <c r="F18" s="254" t="s">
        <v>568</v>
      </c>
      <c r="G18" s="254" t="s">
        <v>569</v>
      </c>
      <c r="H18" s="254" t="s">
        <v>570</v>
      </c>
      <c r="I18" s="254" t="s">
        <v>582</v>
      </c>
      <c r="J18" s="254" t="s">
        <v>583</v>
      </c>
      <c r="K18" s="254" t="s">
        <v>584</v>
      </c>
      <c r="L18" s="254" t="s">
        <v>585</v>
      </c>
      <c r="M18" s="254" t="s">
        <v>28</v>
      </c>
      <c r="N18" s="254" t="s">
        <v>547</v>
      </c>
    </row>
    <row r="19" spans="1:14" x14ac:dyDescent="0.3">
      <c r="A19" s="267">
        <v>10</v>
      </c>
      <c r="B19" s="267" t="s">
        <v>625</v>
      </c>
      <c r="C19" s="193" t="s">
        <v>626</v>
      </c>
      <c r="D19" s="195">
        <v>10</v>
      </c>
      <c r="E19" s="184">
        <v>2.1999999999999999E-2</v>
      </c>
      <c r="F19" s="184" t="s">
        <v>627</v>
      </c>
      <c r="G19" s="184"/>
      <c r="H19" s="268"/>
      <c r="I19" s="269"/>
      <c r="J19" s="270"/>
      <c r="K19" s="268"/>
      <c r="L19" s="268"/>
      <c r="M19" s="271">
        <v>1</v>
      </c>
      <c r="N19" s="260">
        <f>D19*E19</f>
        <v>0.21999999999999997</v>
      </c>
    </row>
    <row r="20" spans="1:14" x14ac:dyDescent="0.3">
      <c r="A20" s="184">
        <v>20</v>
      </c>
      <c r="B20" s="225" t="s">
        <v>628</v>
      </c>
      <c r="C20" s="184" t="s">
        <v>629</v>
      </c>
      <c r="D20" s="195">
        <v>9.8000000000000007</v>
      </c>
      <c r="E20" s="272">
        <v>6.35</v>
      </c>
      <c r="F20" s="272" t="s">
        <v>573</v>
      </c>
      <c r="G20" s="184"/>
      <c r="H20" s="268"/>
      <c r="I20" s="273"/>
      <c r="J20" s="270"/>
      <c r="K20" s="268"/>
      <c r="L20" s="274"/>
      <c r="M20" s="271">
        <v>6</v>
      </c>
      <c r="N20" s="260">
        <f t="shared" ref="N20:N31" si="1">D20*E20</f>
        <v>62.230000000000004</v>
      </c>
    </row>
    <row r="21" spans="1:14" x14ac:dyDescent="0.3">
      <c r="A21" s="267">
        <v>30</v>
      </c>
      <c r="B21" s="225" t="s">
        <v>630</v>
      </c>
      <c r="C21" s="184" t="s">
        <v>629</v>
      </c>
      <c r="D21" s="195">
        <v>7.85</v>
      </c>
      <c r="E21" s="272">
        <v>6.35</v>
      </c>
      <c r="F21" s="272" t="s">
        <v>573</v>
      </c>
      <c r="G21" s="184"/>
      <c r="H21" s="268"/>
      <c r="I21" s="273"/>
      <c r="J21" s="270"/>
      <c r="K21" s="268"/>
      <c r="L21" s="268"/>
      <c r="M21" s="271">
        <v>2</v>
      </c>
      <c r="N21" s="260">
        <f t="shared" si="1"/>
        <v>49.847499999999997</v>
      </c>
    </row>
    <row r="22" spans="1:14" ht="28.8" x14ac:dyDescent="0.3">
      <c r="A22" s="184">
        <v>40</v>
      </c>
      <c r="B22" s="190" t="s">
        <v>631</v>
      </c>
      <c r="C22" s="184" t="s">
        <v>629</v>
      </c>
      <c r="D22" s="195">
        <v>6.8</v>
      </c>
      <c r="E22" s="184">
        <v>10</v>
      </c>
      <c r="F22" s="184" t="s">
        <v>573</v>
      </c>
      <c r="G22" s="184"/>
      <c r="H22" s="268"/>
      <c r="I22" s="273"/>
      <c r="J22" s="270"/>
      <c r="K22" s="268"/>
      <c r="L22" s="268"/>
      <c r="M22" s="271">
        <v>12</v>
      </c>
      <c r="N22" s="260">
        <f t="shared" si="1"/>
        <v>68</v>
      </c>
    </row>
    <row r="23" spans="1:14" x14ac:dyDescent="0.3">
      <c r="A23" s="267">
        <v>50</v>
      </c>
      <c r="B23" s="275" t="s">
        <v>632</v>
      </c>
      <c r="C23" s="184" t="s">
        <v>633</v>
      </c>
      <c r="D23" s="195">
        <v>10.17</v>
      </c>
      <c r="E23" s="184">
        <v>6.35</v>
      </c>
      <c r="F23" s="267" t="s">
        <v>573</v>
      </c>
      <c r="G23" s="184"/>
      <c r="H23" s="268"/>
      <c r="I23" s="269"/>
      <c r="J23" s="274"/>
      <c r="K23" s="276"/>
      <c r="L23" s="267"/>
      <c r="M23" s="271">
        <v>1</v>
      </c>
      <c r="N23" s="260">
        <f t="shared" si="1"/>
        <v>64.579499999999996</v>
      </c>
    </row>
    <row r="24" spans="1:14" x14ac:dyDescent="0.3">
      <c r="A24" s="184">
        <v>60</v>
      </c>
      <c r="B24" s="225" t="s">
        <v>634</v>
      </c>
      <c r="C24" s="184" t="s">
        <v>629</v>
      </c>
      <c r="D24" s="195">
        <v>6.8</v>
      </c>
      <c r="E24" s="184">
        <v>6.5</v>
      </c>
      <c r="F24" s="184" t="s">
        <v>573</v>
      </c>
      <c r="G24" s="184"/>
      <c r="H24" s="268"/>
      <c r="I24" s="273"/>
      <c r="J24" s="270"/>
      <c r="K24" s="268"/>
      <c r="L24" s="268"/>
      <c r="M24" s="271">
        <v>3</v>
      </c>
      <c r="N24" s="260">
        <f t="shared" si="1"/>
        <v>44.199999999999996</v>
      </c>
    </row>
    <row r="25" spans="1:14" x14ac:dyDescent="0.3">
      <c r="A25" s="267">
        <v>70</v>
      </c>
      <c r="B25" s="267" t="s">
        <v>635</v>
      </c>
      <c r="C25" s="184" t="s">
        <v>636</v>
      </c>
      <c r="D25" s="195">
        <v>8</v>
      </c>
      <c r="E25" s="184"/>
      <c r="F25" s="277"/>
      <c r="G25" s="184"/>
      <c r="H25" s="268"/>
      <c r="I25" s="273"/>
      <c r="J25" s="270"/>
      <c r="K25" s="268"/>
      <c r="L25" s="268"/>
      <c r="M25" s="271">
        <v>1</v>
      </c>
      <c r="N25" s="260">
        <f>M25*D25</f>
        <v>8</v>
      </c>
    </row>
    <row r="26" spans="1:14" x14ac:dyDescent="0.3">
      <c r="A26" s="184">
        <v>80</v>
      </c>
      <c r="B26" s="225" t="s">
        <v>637</v>
      </c>
      <c r="C26" s="184" t="s">
        <v>629</v>
      </c>
      <c r="D26" s="195">
        <v>0.29549999999999998</v>
      </c>
      <c r="E26" s="184">
        <v>6.5</v>
      </c>
      <c r="F26" s="184" t="s">
        <v>573</v>
      </c>
      <c r="G26" s="184"/>
      <c r="H26" s="268"/>
      <c r="I26" s="273"/>
      <c r="J26" s="270"/>
      <c r="K26" s="268"/>
      <c r="L26" s="268"/>
      <c r="M26" s="271">
        <v>18</v>
      </c>
      <c r="N26" s="260">
        <f t="shared" si="1"/>
        <v>1.92075</v>
      </c>
    </row>
    <row r="27" spans="1:14" x14ac:dyDescent="0.3">
      <c r="A27" s="267">
        <v>90</v>
      </c>
      <c r="B27" s="190" t="s">
        <v>638</v>
      </c>
      <c r="C27" s="184" t="s">
        <v>639</v>
      </c>
      <c r="D27" s="195">
        <v>5</v>
      </c>
      <c r="E27" s="184"/>
      <c r="F27" s="193"/>
      <c r="G27" s="184"/>
      <c r="H27" s="268"/>
      <c r="I27" s="269"/>
      <c r="J27" s="270"/>
      <c r="K27" s="268"/>
      <c r="L27" s="267"/>
      <c r="M27" s="271">
        <v>2</v>
      </c>
      <c r="N27" s="260">
        <f>D27*M27</f>
        <v>10</v>
      </c>
    </row>
    <row r="28" spans="1:14" ht="28.8" x14ac:dyDescent="0.3">
      <c r="A28" s="184">
        <v>100</v>
      </c>
      <c r="B28" s="225" t="s">
        <v>640</v>
      </c>
      <c r="C28" s="184" t="s">
        <v>641</v>
      </c>
      <c r="D28" s="195">
        <v>13.22</v>
      </c>
      <c r="E28" s="184">
        <v>6.45</v>
      </c>
      <c r="F28" s="184" t="s">
        <v>573</v>
      </c>
      <c r="G28" s="184"/>
      <c r="H28" s="268"/>
      <c r="I28" s="269"/>
      <c r="J28" s="270"/>
      <c r="K28" s="268"/>
      <c r="M28" s="271">
        <v>6.3</v>
      </c>
      <c r="N28" s="260">
        <f t="shared" si="1"/>
        <v>85.269000000000005</v>
      </c>
    </row>
    <row r="29" spans="1:14" ht="28.8" x14ac:dyDescent="0.3">
      <c r="A29" s="267">
        <v>110</v>
      </c>
      <c r="B29" s="256" t="s">
        <v>642</v>
      </c>
      <c r="C29" s="184" t="s">
        <v>643</v>
      </c>
      <c r="D29" s="195">
        <v>2.34</v>
      </c>
      <c r="E29" s="184">
        <v>0.3</v>
      </c>
      <c r="F29" s="184" t="s">
        <v>644</v>
      </c>
      <c r="G29" s="184"/>
      <c r="H29" s="268"/>
      <c r="I29" s="269"/>
      <c r="J29" s="270"/>
      <c r="K29" s="268"/>
      <c r="L29" s="268"/>
      <c r="M29" s="271">
        <v>2</v>
      </c>
      <c r="N29" s="260">
        <f t="shared" si="1"/>
        <v>0.70199999999999996</v>
      </c>
    </row>
    <row r="30" spans="1:14" x14ac:dyDescent="0.3">
      <c r="A30" s="184">
        <v>120</v>
      </c>
      <c r="B30" s="225" t="s">
        <v>645</v>
      </c>
      <c r="C30" s="225" t="s">
        <v>646</v>
      </c>
      <c r="D30" s="195">
        <v>0.5</v>
      </c>
      <c r="E30" s="225">
        <v>0.6</v>
      </c>
      <c r="F30" s="225" t="s">
        <v>644</v>
      </c>
      <c r="G30" s="184"/>
      <c r="H30" s="268"/>
      <c r="I30" s="273"/>
      <c r="J30" s="270"/>
      <c r="K30" s="268"/>
      <c r="L30" s="274"/>
      <c r="M30" s="271">
        <v>1</v>
      </c>
      <c r="N30" s="260">
        <f t="shared" si="1"/>
        <v>0.3</v>
      </c>
    </row>
    <row r="31" spans="1:14" x14ac:dyDescent="0.3">
      <c r="A31" s="267">
        <v>130</v>
      </c>
      <c r="B31" s="225" t="s">
        <v>647</v>
      </c>
      <c r="C31" s="184" t="s">
        <v>648</v>
      </c>
      <c r="D31" s="195">
        <v>0.75</v>
      </c>
      <c r="E31" s="184">
        <v>0.75</v>
      </c>
      <c r="F31" s="184" t="s">
        <v>649</v>
      </c>
      <c r="G31" s="184"/>
      <c r="H31" s="268"/>
      <c r="I31" s="269"/>
      <c r="J31" s="270"/>
      <c r="K31" s="268"/>
      <c r="L31" s="267"/>
      <c r="M31" s="271">
        <v>1</v>
      </c>
      <c r="N31" s="260">
        <f t="shared" si="1"/>
        <v>0.5625</v>
      </c>
    </row>
    <row r="32" spans="1:14" x14ac:dyDescent="0.3">
      <c r="A32" s="278"/>
      <c r="B32" s="278"/>
      <c r="C32" s="278"/>
      <c r="D32" s="278"/>
      <c r="E32" s="278"/>
      <c r="F32" s="278"/>
      <c r="G32" s="278"/>
      <c r="H32" s="278"/>
      <c r="I32" s="278"/>
      <c r="J32" s="278"/>
      <c r="K32" s="278"/>
      <c r="L32" s="278"/>
      <c r="M32" s="279" t="s">
        <v>547</v>
      </c>
      <c r="N32" s="266">
        <f>SUM(N19:N31)</f>
        <v>395.83125000000001</v>
      </c>
    </row>
    <row r="34" spans="1:14" x14ac:dyDescent="0.3">
      <c r="A34" s="254" t="s">
        <v>544</v>
      </c>
      <c r="B34" s="254" t="s">
        <v>548</v>
      </c>
      <c r="C34" s="254" t="s">
        <v>549</v>
      </c>
      <c r="D34" s="254" t="s">
        <v>550</v>
      </c>
      <c r="E34" s="254" t="s">
        <v>551</v>
      </c>
      <c r="F34" s="254" t="s">
        <v>28</v>
      </c>
      <c r="G34" s="254" t="s">
        <v>552</v>
      </c>
      <c r="H34" s="254" t="s">
        <v>553</v>
      </c>
      <c r="I34" s="254" t="s">
        <v>547</v>
      </c>
      <c r="J34" s="278"/>
      <c r="K34" s="278"/>
      <c r="L34" s="278"/>
      <c r="M34" s="278"/>
      <c r="N34" s="278"/>
    </row>
    <row r="35" spans="1:14" x14ac:dyDescent="0.3">
      <c r="A35" s="184">
        <v>10</v>
      </c>
      <c r="B35" s="180" t="s">
        <v>650</v>
      </c>
      <c r="C35" s="184" t="s">
        <v>651</v>
      </c>
      <c r="D35" s="195">
        <v>0.15</v>
      </c>
      <c r="E35" s="184" t="s">
        <v>593</v>
      </c>
      <c r="F35" s="184">
        <v>2.5</v>
      </c>
      <c r="G35" s="184"/>
      <c r="H35" s="184">
        <v>1</v>
      </c>
      <c r="I35" s="280">
        <f>D35*F35*H35</f>
        <v>0.375</v>
      </c>
    </row>
    <row r="36" spans="1:14" x14ac:dyDescent="0.3">
      <c r="A36" s="184">
        <v>20</v>
      </c>
      <c r="B36" s="180" t="s">
        <v>650</v>
      </c>
      <c r="C36" s="184" t="s">
        <v>652</v>
      </c>
      <c r="D36" s="195">
        <v>0.15</v>
      </c>
      <c r="E36" s="184" t="s">
        <v>593</v>
      </c>
      <c r="F36" s="184">
        <v>2.5</v>
      </c>
      <c r="G36" s="184"/>
      <c r="H36" s="184">
        <v>1</v>
      </c>
      <c r="I36" s="280">
        <f>D36*F36*H36</f>
        <v>0.375</v>
      </c>
      <c r="J36" s="248"/>
      <c r="K36" s="248"/>
      <c r="L36" s="248"/>
      <c r="M36" s="248"/>
      <c r="N36" s="248"/>
    </row>
    <row r="37" spans="1:14" x14ac:dyDescent="0.3">
      <c r="A37" s="184">
        <v>30</v>
      </c>
      <c r="B37" s="180" t="s">
        <v>653</v>
      </c>
      <c r="C37" s="193" t="s">
        <v>654</v>
      </c>
      <c r="D37" s="281">
        <v>5.25</v>
      </c>
      <c r="E37" s="184" t="s">
        <v>627</v>
      </c>
      <c r="F37" s="267">
        <v>2.1999999999999999E-2</v>
      </c>
      <c r="G37" s="184"/>
      <c r="H37" s="184">
        <v>1</v>
      </c>
      <c r="I37" s="280">
        <f t="shared" ref="I37:I59" si="2">D37*F37*H37</f>
        <v>0.11549999999999999</v>
      </c>
    </row>
    <row r="38" spans="1:14" ht="28.8" x14ac:dyDescent="0.3">
      <c r="A38" s="184">
        <v>40</v>
      </c>
      <c r="B38" s="180" t="s">
        <v>557</v>
      </c>
      <c r="C38" s="184" t="s">
        <v>655</v>
      </c>
      <c r="D38" s="195">
        <v>0.06</v>
      </c>
      <c r="E38" s="184" t="s">
        <v>556</v>
      </c>
      <c r="F38" s="184">
        <v>1</v>
      </c>
      <c r="G38" s="184"/>
      <c r="H38" s="184">
        <v>1</v>
      </c>
      <c r="I38" s="280">
        <f t="shared" si="2"/>
        <v>0.06</v>
      </c>
      <c r="J38" s="248"/>
      <c r="K38" s="248"/>
      <c r="L38" s="248"/>
      <c r="M38" s="248"/>
      <c r="N38" s="248"/>
    </row>
    <row r="39" spans="1:14" ht="28.8" x14ac:dyDescent="0.3">
      <c r="A39" s="184">
        <v>50</v>
      </c>
      <c r="B39" s="180" t="s">
        <v>656</v>
      </c>
      <c r="C39" s="184" t="s">
        <v>655</v>
      </c>
      <c r="D39" s="195">
        <v>0.25</v>
      </c>
      <c r="E39" s="184" t="s">
        <v>556</v>
      </c>
      <c r="F39" s="184">
        <v>2</v>
      </c>
      <c r="G39" s="184"/>
      <c r="H39" s="184">
        <v>1</v>
      </c>
      <c r="I39" s="280">
        <f t="shared" si="2"/>
        <v>0.5</v>
      </c>
      <c r="J39" s="248"/>
      <c r="K39" s="248"/>
      <c r="L39" s="248"/>
      <c r="M39" s="248"/>
      <c r="N39" s="248"/>
    </row>
    <row r="40" spans="1:14" ht="28.8" x14ac:dyDescent="0.3">
      <c r="A40" s="184">
        <v>60</v>
      </c>
      <c r="B40" s="180" t="s">
        <v>557</v>
      </c>
      <c r="C40" s="184" t="s">
        <v>657</v>
      </c>
      <c r="D40" s="195">
        <v>0.06</v>
      </c>
      <c r="E40" s="184" t="s">
        <v>556</v>
      </c>
      <c r="F40" s="184">
        <v>2</v>
      </c>
      <c r="G40" s="184"/>
      <c r="H40" s="184">
        <v>1</v>
      </c>
      <c r="I40" s="280">
        <f t="shared" si="2"/>
        <v>0.12</v>
      </c>
      <c r="J40" s="248"/>
      <c r="K40" s="248"/>
      <c r="L40" s="248"/>
      <c r="M40" s="248"/>
      <c r="N40" s="248"/>
    </row>
    <row r="41" spans="1:14" ht="28.8" x14ac:dyDescent="0.3">
      <c r="A41" s="184">
        <v>70</v>
      </c>
      <c r="B41" s="180" t="s">
        <v>557</v>
      </c>
      <c r="C41" s="184" t="s">
        <v>658</v>
      </c>
      <c r="D41" s="195">
        <v>0.06</v>
      </c>
      <c r="E41" s="184" t="s">
        <v>556</v>
      </c>
      <c r="F41" s="184">
        <v>1</v>
      </c>
      <c r="G41" s="184"/>
      <c r="H41" s="184">
        <v>1</v>
      </c>
      <c r="I41" s="280">
        <f t="shared" si="2"/>
        <v>0.06</v>
      </c>
      <c r="J41" s="248"/>
      <c r="K41" s="248"/>
      <c r="L41" s="248"/>
      <c r="M41" s="248"/>
      <c r="N41" s="248"/>
    </row>
    <row r="42" spans="1:14" ht="28.8" x14ac:dyDescent="0.3">
      <c r="A42" s="184">
        <v>80</v>
      </c>
      <c r="B42" s="180" t="s">
        <v>659</v>
      </c>
      <c r="C42" s="184" t="s">
        <v>734</v>
      </c>
      <c r="D42" s="282">
        <v>0.5</v>
      </c>
      <c r="E42" s="180" t="s">
        <v>556</v>
      </c>
      <c r="F42" s="184">
        <v>2</v>
      </c>
      <c r="G42" s="184"/>
      <c r="H42" s="184">
        <v>1</v>
      </c>
      <c r="I42" s="280">
        <f t="shared" si="2"/>
        <v>1</v>
      </c>
      <c r="J42" s="248"/>
      <c r="K42" s="248"/>
      <c r="L42" s="248"/>
      <c r="M42" s="248"/>
      <c r="N42" s="248"/>
    </row>
    <row r="43" spans="1:14" x14ac:dyDescent="0.3">
      <c r="A43" s="184">
        <v>90</v>
      </c>
      <c r="B43" s="180" t="s">
        <v>660</v>
      </c>
      <c r="C43" s="184" t="s">
        <v>661</v>
      </c>
      <c r="D43" s="282">
        <v>0.25</v>
      </c>
      <c r="E43" s="180" t="s">
        <v>556</v>
      </c>
      <c r="F43" s="184">
        <v>2</v>
      </c>
      <c r="G43" s="184"/>
      <c r="H43" s="184">
        <v>1</v>
      </c>
      <c r="I43" s="280">
        <f t="shared" si="2"/>
        <v>0.5</v>
      </c>
      <c r="J43" s="248"/>
      <c r="K43" s="248"/>
      <c r="L43" s="248"/>
      <c r="M43" s="248"/>
      <c r="N43" s="248"/>
    </row>
    <row r="44" spans="1:14" x14ac:dyDescent="0.3">
      <c r="A44" s="184">
        <v>100</v>
      </c>
      <c r="B44" s="180" t="s">
        <v>557</v>
      </c>
      <c r="C44" s="184" t="s">
        <v>662</v>
      </c>
      <c r="D44" s="195">
        <v>0.06</v>
      </c>
      <c r="E44" s="184" t="s">
        <v>556</v>
      </c>
      <c r="F44" s="184">
        <v>1</v>
      </c>
      <c r="G44" s="184"/>
      <c r="H44" s="184">
        <v>1</v>
      </c>
      <c r="I44" s="280">
        <f t="shared" si="2"/>
        <v>0.06</v>
      </c>
      <c r="J44" s="283"/>
    </row>
    <row r="45" spans="1:14" x14ac:dyDescent="0.3">
      <c r="A45" s="184">
        <v>110</v>
      </c>
      <c r="B45" s="180" t="s">
        <v>559</v>
      </c>
      <c r="C45" s="184" t="s">
        <v>663</v>
      </c>
      <c r="D45" s="284">
        <v>0.75</v>
      </c>
      <c r="E45" s="180" t="s">
        <v>556</v>
      </c>
      <c r="F45" s="184">
        <v>2</v>
      </c>
      <c r="G45" s="184"/>
      <c r="H45" s="184">
        <v>1</v>
      </c>
      <c r="I45" s="280">
        <f t="shared" si="2"/>
        <v>1.5</v>
      </c>
    </row>
    <row r="46" spans="1:14" x14ac:dyDescent="0.3">
      <c r="A46" s="184">
        <v>120</v>
      </c>
      <c r="B46" s="180" t="s">
        <v>616</v>
      </c>
      <c r="C46" s="184" t="s">
        <v>664</v>
      </c>
      <c r="D46" s="284">
        <v>0.25</v>
      </c>
      <c r="E46" s="180" t="s">
        <v>556</v>
      </c>
      <c r="F46" s="184">
        <v>2</v>
      </c>
      <c r="G46" s="184"/>
      <c r="H46" s="184">
        <v>1</v>
      </c>
      <c r="I46" s="280">
        <f t="shared" si="2"/>
        <v>0.5</v>
      </c>
    </row>
    <row r="47" spans="1:14" x14ac:dyDescent="0.3">
      <c r="A47" s="184">
        <v>130</v>
      </c>
      <c r="B47" s="180" t="s">
        <v>557</v>
      </c>
      <c r="C47" s="184" t="s">
        <v>665</v>
      </c>
      <c r="D47" s="195">
        <v>0.06</v>
      </c>
      <c r="E47" s="184" t="s">
        <v>556</v>
      </c>
      <c r="F47" s="184">
        <v>1</v>
      </c>
      <c r="G47" s="184"/>
      <c r="H47" s="184">
        <v>1</v>
      </c>
      <c r="I47" s="280">
        <f t="shared" si="2"/>
        <v>0.06</v>
      </c>
    </row>
    <row r="48" spans="1:14" x14ac:dyDescent="0.3">
      <c r="A48" s="184">
        <v>140</v>
      </c>
      <c r="B48" s="180" t="s">
        <v>659</v>
      </c>
      <c r="C48" s="184" t="s">
        <v>663</v>
      </c>
      <c r="D48" s="282">
        <v>0.5</v>
      </c>
      <c r="E48" s="180" t="s">
        <v>556</v>
      </c>
      <c r="F48" s="184">
        <v>2</v>
      </c>
      <c r="G48" s="184"/>
      <c r="H48" s="184">
        <v>1</v>
      </c>
      <c r="I48" s="280">
        <f t="shared" si="2"/>
        <v>1</v>
      </c>
    </row>
    <row r="49" spans="1:14" x14ac:dyDescent="0.3">
      <c r="A49" s="184">
        <v>150</v>
      </c>
      <c r="B49" s="180" t="s">
        <v>660</v>
      </c>
      <c r="C49" s="184" t="s">
        <v>661</v>
      </c>
      <c r="D49" s="282">
        <v>0.25</v>
      </c>
      <c r="E49" s="180" t="s">
        <v>556</v>
      </c>
      <c r="F49" s="184">
        <v>2</v>
      </c>
      <c r="G49" s="184"/>
      <c r="H49" s="267">
        <v>1</v>
      </c>
      <c r="I49" s="280">
        <f t="shared" si="2"/>
        <v>0.5</v>
      </c>
    </row>
    <row r="50" spans="1:14" x14ac:dyDescent="0.3">
      <c r="A50" s="184">
        <v>160</v>
      </c>
      <c r="B50" s="285" t="s">
        <v>666</v>
      </c>
      <c r="C50" s="193" t="s">
        <v>667</v>
      </c>
      <c r="D50" s="284">
        <v>0.75</v>
      </c>
      <c r="E50" s="184" t="s">
        <v>556</v>
      </c>
      <c r="F50" s="184">
        <v>10</v>
      </c>
      <c r="G50" s="184"/>
      <c r="H50" s="267">
        <v>1</v>
      </c>
      <c r="I50" s="280">
        <f t="shared" si="2"/>
        <v>7.5</v>
      </c>
    </row>
    <row r="51" spans="1:14" ht="28.8" x14ac:dyDescent="0.3">
      <c r="A51" s="184">
        <v>170</v>
      </c>
      <c r="B51" s="286" t="s">
        <v>668</v>
      </c>
      <c r="C51" s="184" t="s">
        <v>641</v>
      </c>
      <c r="D51" s="195">
        <v>0.15</v>
      </c>
      <c r="E51" s="184" t="s">
        <v>593</v>
      </c>
      <c r="F51" s="184">
        <v>2</v>
      </c>
      <c r="G51" s="184" t="s">
        <v>669</v>
      </c>
      <c r="H51" s="184">
        <v>12</v>
      </c>
      <c r="I51" s="280">
        <f t="shared" si="2"/>
        <v>3.5999999999999996</v>
      </c>
    </row>
    <row r="52" spans="1:14" x14ac:dyDescent="0.3">
      <c r="A52" s="184">
        <v>180</v>
      </c>
      <c r="B52" s="286" t="s">
        <v>670</v>
      </c>
      <c r="C52" s="193" t="s">
        <v>671</v>
      </c>
      <c r="D52" s="195">
        <v>0.06</v>
      </c>
      <c r="E52" s="267" t="s">
        <v>593</v>
      </c>
      <c r="F52" s="184">
        <v>2</v>
      </c>
      <c r="G52" s="184" t="s">
        <v>669</v>
      </c>
      <c r="H52" s="184">
        <v>12</v>
      </c>
      <c r="I52" s="280">
        <f t="shared" si="2"/>
        <v>1.44</v>
      </c>
    </row>
    <row r="53" spans="1:14" x14ac:dyDescent="0.3">
      <c r="A53" s="184">
        <v>190</v>
      </c>
      <c r="B53" s="180" t="s">
        <v>672</v>
      </c>
      <c r="C53" s="184" t="s">
        <v>673</v>
      </c>
      <c r="D53" s="287">
        <v>0.5</v>
      </c>
      <c r="E53" s="180" t="s">
        <v>556</v>
      </c>
      <c r="F53" s="184">
        <v>12</v>
      </c>
      <c r="G53" s="184"/>
      <c r="H53" s="184">
        <v>1</v>
      </c>
      <c r="I53" s="280">
        <f t="shared" si="2"/>
        <v>6</v>
      </c>
    </row>
    <row r="54" spans="1:14" x14ac:dyDescent="0.3">
      <c r="A54" s="184">
        <v>200</v>
      </c>
      <c r="B54" s="180" t="s">
        <v>674</v>
      </c>
      <c r="C54" s="184" t="s">
        <v>675</v>
      </c>
      <c r="D54" s="287">
        <v>1.5</v>
      </c>
      <c r="E54" s="180" t="s">
        <v>556</v>
      </c>
      <c r="F54" s="184">
        <v>12</v>
      </c>
      <c r="G54" s="184"/>
      <c r="H54" s="184">
        <v>1</v>
      </c>
      <c r="I54" s="280">
        <f t="shared" si="2"/>
        <v>18</v>
      </c>
    </row>
    <row r="55" spans="1:14" x14ac:dyDescent="0.3">
      <c r="A55" s="184">
        <v>210</v>
      </c>
      <c r="B55" s="180" t="s">
        <v>616</v>
      </c>
      <c r="C55" s="184" t="s">
        <v>676</v>
      </c>
      <c r="D55" s="284">
        <v>0.25</v>
      </c>
      <c r="E55" s="267"/>
      <c r="F55" s="267">
        <v>12</v>
      </c>
      <c r="G55" s="267"/>
      <c r="H55" s="184">
        <v>1</v>
      </c>
      <c r="I55" s="280">
        <f t="shared" si="2"/>
        <v>3</v>
      </c>
    </row>
    <row r="56" spans="1:14" x14ac:dyDescent="0.3">
      <c r="A56" s="184">
        <v>220</v>
      </c>
      <c r="B56" s="286" t="s">
        <v>677</v>
      </c>
      <c r="C56" s="193" t="s">
        <v>678</v>
      </c>
      <c r="D56" s="287">
        <v>0.15</v>
      </c>
      <c r="E56" s="180" t="s">
        <v>593</v>
      </c>
      <c r="F56" s="184">
        <v>60</v>
      </c>
      <c r="G56" s="184"/>
      <c r="H56" s="184">
        <v>1</v>
      </c>
      <c r="I56" s="280">
        <f t="shared" si="2"/>
        <v>9</v>
      </c>
      <c r="K56" s="253"/>
      <c r="L56" s="253"/>
      <c r="M56" s="253"/>
      <c r="N56" s="253"/>
    </row>
    <row r="57" spans="1:14" ht="28.8" x14ac:dyDescent="0.3">
      <c r="A57" s="184">
        <v>230</v>
      </c>
      <c r="B57" s="286" t="s">
        <v>670</v>
      </c>
      <c r="C57" s="184" t="s">
        <v>643</v>
      </c>
      <c r="D57" s="195">
        <v>0.06</v>
      </c>
      <c r="E57" s="184" t="s">
        <v>593</v>
      </c>
      <c r="F57" s="184">
        <v>4.0999999999999996</v>
      </c>
      <c r="G57" s="184" t="s">
        <v>679</v>
      </c>
      <c r="H57" s="184">
        <v>2</v>
      </c>
      <c r="I57" s="280">
        <f t="shared" si="2"/>
        <v>0.49199999999999994</v>
      </c>
      <c r="K57" s="253"/>
      <c r="L57" s="253"/>
      <c r="M57" s="253"/>
      <c r="N57" s="253"/>
    </row>
    <row r="58" spans="1:14" x14ac:dyDescent="0.3">
      <c r="A58" s="184">
        <v>240</v>
      </c>
      <c r="B58" s="267" t="s">
        <v>680</v>
      </c>
      <c r="C58" s="184" t="s">
        <v>681</v>
      </c>
      <c r="D58" s="195">
        <v>0.19</v>
      </c>
      <c r="E58" s="184" t="s">
        <v>556</v>
      </c>
      <c r="F58" s="184">
        <v>4</v>
      </c>
      <c r="G58" s="184"/>
      <c r="H58" s="184">
        <v>1</v>
      </c>
      <c r="I58" s="280">
        <f t="shared" si="2"/>
        <v>0.76</v>
      </c>
      <c r="J58" s="248"/>
      <c r="K58" s="248"/>
      <c r="L58" s="248"/>
      <c r="M58" s="248"/>
      <c r="N58" s="248"/>
    </row>
    <row r="59" spans="1:14" x14ac:dyDescent="0.3">
      <c r="A59" s="184">
        <v>250</v>
      </c>
      <c r="B59" s="180" t="s">
        <v>682</v>
      </c>
      <c r="C59" s="267" t="s">
        <v>683</v>
      </c>
      <c r="D59" s="287">
        <v>9.375E-2</v>
      </c>
      <c r="E59" s="180" t="s">
        <v>556</v>
      </c>
      <c r="F59" s="184">
        <f>17</f>
        <v>17</v>
      </c>
      <c r="G59" s="184"/>
      <c r="H59" s="184">
        <v>1</v>
      </c>
      <c r="I59" s="280">
        <f t="shared" si="2"/>
        <v>1.59375</v>
      </c>
      <c r="K59" s="253"/>
      <c r="L59" s="288"/>
      <c r="M59" s="289"/>
      <c r="N59" s="253"/>
    </row>
    <row r="60" spans="1:14" x14ac:dyDescent="0.3">
      <c r="B60" s="278"/>
      <c r="C60" s="278"/>
      <c r="D60" s="278"/>
      <c r="E60" s="278"/>
      <c r="F60" s="278"/>
      <c r="G60" s="278"/>
      <c r="H60" s="279" t="s">
        <v>547</v>
      </c>
      <c r="I60" s="266">
        <f>SUM(I35:I59)</f>
        <v>58.111249999999998</v>
      </c>
    </row>
    <row r="62" spans="1:14" x14ac:dyDescent="0.3">
      <c r="A62" s="254" t="s">
        <v>544</v>
      </c>
      <c r="B62" s="254" t="s">
        <v>566</v>
      </c>
      <c r="C62" s="254" t="s">
        <v>549</v>
      </c>
      <c r="D62" s="254" t="s">
        <v>550</v>
      </c>
      <c r="E62" s="254" t="s">
        <v>567</v>
      </c>
      <c r="F62" s="254" t="s">
        <v>568</v>
      </c>
      <c r="G62" s="254" t="s">
        <v>569</v>
      </c>
      <c r="H62" s="254" t="s">
        <v>570</v>
      </c>
      <c r="I62" s="254" t="s">
        <v>28</v>
      </c>
      <c r="J62" s="254" t="s">
        <v>547</v>
      </c>
    </row>
    <row r="63" spans="1:14" x14ac:dyDescent="0.3">
      <c r="A63" s="184">
        <v>10</v>
      </c>
      <c r="B63" s="184" t="s">
        <v>684</v>
      </c>
      <c r="C63" s="184" t="s">
        <v>685</v>
      </c>
      <c r="D63" s="282">
        <v>0.04</v>
      </c>
      <c r="E63" s="184">
        <v>6</v>
      </c>
      <c r="F63" s="192" t="s">
        <v>573</v>
      </c>
      <c r="G63" s="184">
        <v>16</v>
      </c>
      <c r="H63" s="193" t="s">
        <v>573</v>
      </c>
      <c r="I63" s="194">
        <v>2</v>
      </c>
      <c r="J63" s="195">
        <v>0.08</v>
      </c>
    </row>
    <row r="64" spans="1:14" x14ac:dyDescent="0.3">
      <c r="A64" s="184">
        <v>20</v>
      </c>
      <c r="B64" s="290" t="s">
        <v>618</v>
      </c>
      <c r="C64" s="184" t="s">
        <v>685</v>
      </c>
      <c r="D64" s="195">
        <v>0.03</v>
      </c>
      <c r="E64" s="184">
        <v>6</v>
      </c>
      <c r="F64" s="192" t="s">
        <v>573</v>
      </c>
      <c r="G64" s="184"/>
      <c r="H64" s="193"/>
      <c r="I64" s="194">
        <v>2</v>
      </c>
      <c r="J64" s="195">
        <v>0.06</v>
      </c>
    </row>
    <row r="65" spans="1:10" x14ac:dyDescent="0.3">
      <c r="A65" s="184">
        <v>30</v>
      </c>
      <c r="B65" s="290" t="s">
        <v>574</v>
      </c>
      <c r="C65" s="184" t="s">
        <v>685</v>
      </c>
      <c r="D65" s="282">
        <v>0.01</v>
      </c>
      <c r="E65" s="184">
        <v>6</v>
      </c>
      <c r="F65" s="192" t="s">
        <v>573</v>
      </c>
      <c r="G65" s="184"/>
      <c r="H65" s="193"/>
      <c r="I65" s="194">
        <v>4</v>
      </c>
      <c r="J65" s="195">
        <v>0.04</v>
      </c>
    </row>
    <row r="66" spans="1:10" x14ac:dyDescent="0.3">
      <c r="A66" s="184">
        <v>40</v>
      </c>
      <c r="B66" s="184" t="s">
        <v>684</v>
      </c>
      <c r="C66" s="184" t="s">
        <v>686</v>
      </c>
      <c r="D66" s="282">
        <v>0.04</v>
      </c>
      <c r="E66" s="184">
        <v>6</v>
      </c>
      <c r="F66" s="192" t="s">
        <v>573</v>
      </c>
      <c r="G66" s="184">
        <v>16</v>
      </c>
      <c r="H66" s="193" t="s">
        <v>573</v>
      </c>
      <c r="I66" s="194">
        <v>1</v>
      </c>
      <c r="J66" s="195">
        <f>I66*D66</f>
        <v>0.04</v>
      </c>
    </row>
    <row r="67" spans="1:10" x14ac:dyDescent="0.3">
      <c r="A67" s="184">
        <v>50</v>
      </c>
      <c r="B67" s="290" t="s">
        <v>618</v>
      </c>
      <c r="C67" s="184" t="s">
        <v>686</v>
      </c>
      <c r="D67" s="195">
        <v>0.03</v>
      </c>
      <c r="E67" s="184">
        <v>6</v>
      </c>
      <c r="F67" s="192" t="s">
        <v>573</v>
      </c>
      <c r="G67" s="184"/>
      <c r="H67" s="193"/>
      <c r="I67" s="194">
        <v>1</v>
      </c>
      <c r="J67" s="195">
        <f t="shared" ref="J67:J73" si="3">I67*D67</f>
        <v>0.03</v>
      </c>
    </row>
    <row r="68" spans="1:10" x14ac:dyDescent="0.3">
      <c r="A68" s="184">
        <v>60</v>
      </c>
      <c r="B68" s="290" t="s">
        <v>574</v>
      </c>
      <c r="C68" s="184" t="s">
        <v>686</v>
      </c>
      <c r="D68" s="282">
        <v>0.01</v>
      </c>
      <c r="E68" s="184">
        <v>6</v>
      </c>
      <c r="F68" s="192" t="s">
        <v>573</v>
      </c>
      <c r="G68" s="184"/>
      <c r="H68" s="193"/>
      <c r="I68" s="194">
        <v>2</v>
      </c>
      <c r="J68" s="195">
        <f t="shared" si="3"/>
        <v>0.02</v>
      </c>
    </row>
    <row r="69" spans="1:10" x14ac:dyDescent="0.3">
      <c r="A69" s="184">
        <v>70</v>
      </c>
      <c r="B69" s="184" t="s">
        <v>684</v>
      </c>
      <c r="C69" s="184" t="s">
        <v>687</v>
      </c>
      <c r="D69" s="282">
        <v>0.26</v>
      </c>
      <c r="E69" s="184">
        <v>8</v>
      </c>
      <c r="F69" s="192" t="s">
        <v>573</v>
      </c>
      <c r="G69" s="184"/>
      <c r="H69" s="193"/>
      <c r="I69" s="194">
        <v>1</v>
      </c>
      <c r="J69" s="195">
        <f t="shared" si="3"/>
        <v>0.26</v>
      </c>
    </row>
    <row r="70" spans="1:10" x14ac:dyDescent="0.3">
      <c r="A70" s="184">
        <v>80</v>
      </c>
      <c r="B70" s="290" t="s">
        <v>618</v>
      </c>
      <c r="C70" s="184" t="s">
        <v>687</v>
      </c>
      <c r="D70" s="191">
        <v>0.04</v>
      </c>
      <c r="E70" s="184">
        <v>8</v>
      </c>
      <c r="F70" s="192" t="s">
        <v>573</v>
      </c>
      <c r="G70" s="184"/>
      <c r="H70" s="193"/>
      <c r="I70" s="194">
        <v>2</v>
      </c>
      <c r="J70" s="195">
        <f t="shared" si="3"/>
        <v>0.08</v>
      </c>
    </row>
    <row r="71" spans="1:10" x14ac:dyDescent="0.3">
      <c r="A71" s="184">
        <v>90</v>
      </c>
      <c r="B71" s="290" t="s">
        <v>574</v>
      </c>
      <c r="C71" s="184" t="s">
        <v>687</v>
      </c>
      <c r="D71" s="191">
        <v>0.01</v>
      </c>
      <c r="E71" s="184">
        <v>8</v>
      </c>
      <c r="F71" s="192" t="s">
        <v>573</v>
      </c>
      <c r="G71" s="184"/>
      <c r="H71" s="193"/>
      <c r="I71" s="194">
        <v>1</v>
      </c>
      <c r="J71" s="195">
        <f t="shared" si="3"/>
        <v>0.01</v>
      </c>
    </row>
    <row r="72" spans="1:10" ht="28.8" x14ac:dyDescent="0.3">
      <c r="A72" s="184">
        <v>100</v>
      </c>
      <c r="B72" s="225" t="s">
        <v>688</v>
      </c>
      <c r="C72" s="184" t="s">
        <v>643</v>
      </c>
      <c r="D72" s="191">
        <v>0.55000000000000004</v>
      </c>
      <c r="E72" s="184">
        <v>13</v>
      </c>
      <c r="F72" s="192" t="s">
        <v>573</v>
      </c>
      <c r="G72" s="184"/>
      <c r="H72" s="193"/>
      <c r="I72" s="194">
        <v>4</v>
      </c>
      <c r="J72" s="195">
        <f t="shared" si="3"/>
        <v>2.2000000000000002</v>
      </c>
    </row>
    <row r="73" spans="1:10" x14ac:dyDescent="0.3">
      <c r="A73" s="184">
        <v>110</v>
      </c>
      <c r="B73" s="225" t="s">
        <v>689</v>
      </c>
      <c r="C73" s="184" t="s">
        <v>690</v>
      </c>
      <c r="D73" s="191">
        <v>0.04</v>
      </c>
      <c r="E73" s="184"/>
      <c r="F73" s="192"/>
      <c r="G73" s="184"/>
      <c r="H73" s="193"/>
      <c r="I73" s="194">
        <v>17</v>
      </c>
      <c r="J73" s="195">
        <f t="shared" si="3"/>
        <v>0.68</v>
      </c>
    </row>
    <row r="74" spans="1:10" x14ac:dyDescent="0.3">
      <c r="B74" s="278"/>
      <c r="C74" s="278"/>
      <c r="D74" s="278"/>
      <c r="E74" s="278"/>
      <c r="F74" s="278"/>
      <c r="G74" s="278"/>
      <c r="H74" s="278"/>
      <c r="I74" s="279" t="s">
        <v>547</v>
      </c>
      <c r="J74" s="291">
        <f>SUM(J63:J73)</f>
        <v>3.5000000000000004</v>
      </c>
    </row>
    <row r="75" spans="1:10" x14ac:dyDescent="0.3">
      <c r="A75" s="278"/>
      <c r="H75" s="292"/>
      <c r="I75" s="293"/>
      <c r="J75" s="278"/>
    </row>
    <row r="76" spans="1:10" x14ac:dyDescent="0.3">
      <c r="A76" s="254" t="s">
        <v>544</v>
      </c>
      <c r="B76" s="254" t="s">
        <v>6</v>
      </c>
      <c r="C76" s="254" t="s">
        <v>549</v>
      </c>
      <c r="D76" s="254" t="s">
        <v>550</v>
      </c>
      <c r="E76" s="254" t="s">
        <v>551</v>
      </c>
      <c r="F76" s="254" t="s">
        <v>28</v>
      </c>
      <c r="G76" s="254" t="s">
        <v>691</v>
      </c>
      <c r="H76" s="254" t="s">
        <v>692</v>
      </c>
      <c r="I76" s="254" t="s">
        <v>547</v>
      </c>
    </row>
    <row r="77" spans="1:10" x14ac:dyDescent="0.3">
      <c r="A77" s="184">
        <v>10</v>
      </c>
      <c r="B77" s="272" t="s">
        <v>693</v>
      </c>
      <c r="C77" s="184" t="s">
        <v>694</v>
      </c>
      <c r="D77" s="195">
        <v>500</v>
      </c>
      <c r="E77" s="184" t="s">
        <v>695</v>
      </c>
      <c r="F77" s="184">
        <v>4</v>
      </c>
      <c r="G77" s="184">
        <v>3000</v>
      </c>
      <c r="H77" s="184">
        <v>1</v>
      </c>
      <c r="I77" s="260">
        <f>D77*F77/G77</f>
        <v>0.66666666666666663</v>
      </c>
    </row>
    <row r="78" spans="1:10" x14ac:dyDescent="0.3">
      <c r="A78" s="248"/>
      <c r="B78" s="278"/>
      <c r="C78" s="278"/>
      <c r="D78" s="278"/>
      <c r="E78" s="278"/>
      <c r="F78" s="278"/>
      <c r="G78" s="278"/>
      <c r="H78" s="279" t="s">
        <v>547</v>
      </c>
      <c r="I78" s="291">
        <f>I77</f>
        <v>0.66666666666666663</v>
      </c>
    </row>
    <row r="79" spans="1:10" x14ac:dyDescent="0.3">
      <c r="A79" s="248"/>
    </row>
    <row r="80" spans="1:10" x14ac:dyDescent="0.3">
      <c r="A80" s="248"/>
      <c r="B80" s="248"/>
      <c r="C80" s="248"/>
      <c r="D80" s="248"/>
      <c r="E80" s="248"/>
      <c r="F80" s="248"/>
      <c r="G80" s="248"/>
      <c r="H80" s="248"/>
    </row>
    <row r="81" spans="1:8" x14ac:dyDescent="0.3">
      <c r="A81" s="248"/>
      <c r="B81" s="248"/>
      <c r="C81" s="248"/>
      <c r="D81" s="248"/>
      <c r="E81" s="248"/>
      <c r="F81" s="248"/>
      <c r="G81" s="248"/>
      <c r="H81" s="248"/>
    </row>
    <row r="82" spans="1:8" x14ac:dyDescent="0.3">
      <c r="A82" s="248"/>
      <c r="B82" s="248"/>
      <c r="C82" s="248"/>
      <c r="D82" s="248"/>
      <c r="E82" s="248"/>
      <c r="F82" s="248"/>
      <c r="G82" s="248"/>
      <c r="H82" s="248"/>
    </row>
    <row r="83" spans="1:8" x14ac:dyDescent="0.3">
      <c r="A83" s="248"/>
      <c r="B83" s="248"/>
      <c r="C83" s="248"/>
      <c r="D83" s="248"/>
      <c r="E83" s="248"/>
      <c r="F83" s="248"/>
      <c r="G83" s="248"/>
      <c r="H83" s="248"/>
    </row>
    <row r="84" spans="1:8" x14ac:dyDescent="0.3">
      <c r="A84" s="248"/>
      <c r="B84" s="248"/>
      <c r="C84" s="248"/>
      <c r="D84" s="248"/>
      <c r="E84" s="248"/>
      <c r="F84" s="248"/>
      <c r="G84" s="248"/>
      <c r="H84" s="248"/>
    </row>
    <row r="85" spans="1:8" x14ac:dyDescent="0.3">
      <c r="A85" s="248"/>
      <c r="B85" s="248"/>
      <c r="C85" s="248"/>
      <c r="D85" s="248"/>
      <c r="E85" s="248"/>
      <c r="F85" s="248"/>
      <c r="G85" s="248"/>
      <c r="H85" s="248"/>
    </row>
    <row r="86" spans="1:8" x14ac:dyDescent="0.3">
      <c r="A86" s="248"/>
      <c r="B86" s="248"/>
      <c r="C86" s="248"/>
      <c r="D86" s="248"/>
      <c r="E86" s="248"/>
      <c r="F86" s="248"/>
      <c r="G86" s="248"/>
      <c r="H86" s="248"/>
    </row>
    <row r="87" spans="1:8" x14ac:dyDescent="0.3">
      <c r="A87" s="248"/>
      <c r="B87" s="248"/>
      <c r="C87" s="248"/>
      <c r="D87" s="248"/>
      <c r="E87" s="248"/>
      <c r="F87" s="248"/>
      <c r="G87" s="248"/>
      <c r="H87" s="248"/>
    </row>
    <row r="88" spans="1:8" x14ac:dyDescent="0.3">
      <c r="A88" s="248"/>
      <c r="B88" s="248"/>
      <c r="C88" s="248"/>
      <c r="D88" s="248"/>
      <c r="E88" s="248"/>
      <c r="F88" s="248"/>
      <c r="G88" s="248"/>
      <c r="H88" s="248"/>
    </row>
    <row r="89" spans="1:8" x14ac:dyDescent="0.3">
      <c r="A89" s="248"/>
      <c r="B89" s="248"/>
      <c r="C89" s="248"/>
      <c r="D89" s="248"/>
      <c r="E89" s="248"/>
      <c r="F89" s="248"/>
      <c r="G89" s="248"/>
      <c r="H89" s="248"/>
    </row>
    <row r="90" spans="1:8" x14ac:dyDescent="0.3">
      <c r="A90" s="248"/>
      <c r="B90" s="248"/>
      <c r="C90" s="248"/>
      <c r="D90" s="248"/>
      <c r="E90" s="248"/>
      <c r="F90" s="248"/>
      <c r="G90" s="248"/>
      <c r="H90" s="248"/>
    </row>
    <row r="91" spans="1:8" x14ac:dyDescent="0.3">
      <c r="A91" s="248"/>
      <c r="B91" s="248"/>
      <c r="C91" s="248"/>
      <c r="D91" s="248"/>
      <c r="E91" s="248"/>
      <c r="F91" s="248"/>
      <c r="G91" s="248"/>
      <c r="H91" s="248"/>
    </row>
    <row r="92" spans="1:8" x14ac:dyDescent="0.3">
      <c r="A92" s="248"/>
      <c r="B92" s="248"/>
      <c r="C92" s="248"/>
      <c r="D92" s="248"/>
      <c r="E92" s="248"/>
      <c r="F92" s="248"/>
      <c r="G92" s="248"/>
      <c r="H92" s="248"/>
    </row>
    <row r="93" spans="1:8" x14ac:dyDescent="0.3">
      <c r="A93" s="248"/>
      <c r="B93" s="248"/>
      <c r="C93" s="248"/>
      <c r="D93" s="248"/>
      <c r="E93" s="248"/>
      <c r="F93" s="248"/>
      <c r="G93" s="248"/>
      <c r="H93" s="248"/>
    </row>
    <row r="94" spans="1:8" x14ac:dyDescent="0.3">
      <c r="A94" s="248"/>
      <c r="B94" s="248"/>
      <c r="C94" s="248"/>
      <c r="D94" s="248"/>
      <c r="E94" s="248"/>
      <c r="F94" s="248"/>
      <c r="G94" s="248"/>
      <c r="H94" s="248"/>
    </row>
    <row r="95" spans="1:8" x14ac:dyDescent="0.3">
      <c r="A95" s="248"/>
      <c r="B95" s="248"/>
      <c r="C95" s="248"/>
      <c r="D95" s="248"/>
      <c r="E95" s="248"/>
      <c r="F95" s="248"/>
      <c r="G95" s="248"/>
      <c r="H95" s="248"/>
    </row>
    <row r="96" spans="1:8" x14ac:dyDescent="0.3">
      <c r="A96" s="248"/>
      <c r="B96" s="248"/>
      <c r="C96" s="248"/>
      <c r="D96" s="248"/>
      <c r="E96" s="248"/>
      <c r="F96" s="248"/>
      <c r="G96" s="248"/>
      <c r="H96" s="248"/>
    </row>
    <row r="97" spans="1:8" x14ac:dyDescent="0.3">
      <c r="A97" s="248"/>
      <c r="B97" s="248"/>
      <c r="C97" s="248"/>
      <c r="D97" s="248"/>
      <c r="E97" s="248"/>
      <c r="F97" s="248"/>
      <c r="G97" s="248"/>
      <c r="H97" s="248"/>
    </row>
    <row r="98" spans="1:8" x14ac:dyDescent="0.3">
      <c r="A98" s="248"/>
      <c r="B98" s="248"/>
      <c r="C98" s="248"/>
      <c r="D98" s="248"/>
      <c r="E98" s="248"/>
      <c r="F98" s="248"/>
      <c r="G98" s="248"/>
      <c r="H98" s="248"/>
    </row>
    <row r="99" spans="1:8" x14ac:dyDescent="0.3">
      <c r="A99" s="248"/>
      <c r="B99" s="248"/>
      <c r="C99" s="248"/>
      <c r="D99" s="248"/>
      <c r="E99" s="248"/>
      <c r="F99" s="248"/>
      <c r="G99" s="248"/>
      <c r="H99" s="248"/>
    </row>
    <row r="100" spans="1:8" x14ac:dyDescent="0.3">
      <c r="A100" s="248"/>
      <c r="B100" s="248"/>
      <c r="C100" s="248"/>
      <c r="D100" s="248"/>
      <c r="E100" s="248"/>
      <c r="F100" s="248"/>
      <c r="G100" s="248"/>
      <c r="H100" s="248"/>
    </row>
    <row r="101" spans="1:8" x14ac:dyDescent="0.3">
      <c r="A101" s="248"/>
      <c r="B101" s="248"/>
      <c r="C101" s="248"/>
      <c r="D101" s="248"/>
      <c r="E101" s="248"/>
      <c r="F101" s="248"/>
      <c r="G101" s="248"/>
      <c r="H101" s="248"/>
    </row>
    <row r="102" spans="1:8" x14ac:dyDescent="0.3">
      <c r="A102" s="248"/>
      <c r="B102" s="248"/>
      <c r="C102" s="248"/>
      <c r="D102" s="248"/>
      <c r="E102" s="248"/>
      <c r="F102" s="248"/>
      <c r="G102" s="248"/>
      <c r="H102" s="248"/>
    </row>
    <row r="103" spans="1:8" x14ac:dyDescent="0.3">
      <c r="A103" s="248"/>
      <c r="B103" s="248"/>
      <c r="C103" s="248"/>
      <c r="D103" s="248"/>
      <c r="E103" s="248"/>
      <c r="F103" s="248"/>
      <c r="G103" s="248"/>
      <c r="H103" s="248"/>
    </row>
    <row r="104" spans="1:8" x14ac:dyDescent="0.3">
      <c r="A104" s="248"/>
      <c r="B104" s="248"/>
      <c r="C104" s="248"/>
      <c r="D104" s="248"/>
      <c r="E104" s="248"/>
      <c r="F104" s="248"/>
      <c r="G104" s="248"/>
      <c r="H104" s="248"/>
    </row>
    <row r="105" spans="1:8" x14ac:dyDescent="0.3">
      <c r="A105" s="248"/>
      <c r="B105" s="248"/>
      <c r="C105" s="248"/>
      <c r="D105" s="248"/>
      <c r="E105" s="248"/>
      <c r="F105" s="248"/>
      <c r="G105" s="248"/>
      <c r="H105" s="248"/>
    </row>
    <row r="106" spans="1:8" x14ac:dyDescent="0.3">
      <c r="A106" s="248"/>
      <c r="B106" s="248"/>
      <c r="C106" s="248"/>
      <c r="D106" s="248"/>
      <c r="E106" s="248"/>
      <c r="F106" s="248"/>
      <c r="G106" s="248"/>
      <c r="H106" s="248"/>
    </row>
    <row r="107" spans="1:8" x14ac:dyDescent="0.3">
      <c r="A107" s="248"/>
      <c r="B107" s="248"/>
      <c r="C107" s="248"/>
      <c r="D107" s="248"/>
      <c r="E107" s="248"/>
      <c r="F107" s="248"/>
      <c r="G107" s="248"/>
      <c r="H107" s="248"/>
    </row>
    <row r="108" spans="1:8" x14ac:dyDescent="0.3">
      <c r="A108" s="248"/>
      <c r="B108" s="248"/>
      <c r="C108" s="248"/>
      <c r="D108" s="248"/>
      <c r="E108" s="248"/>
      <c r="F108" s="248"/>
      <c r="G108" s="248"/>
      <c r="H108" s="248"/>
    </row>
    <row r="109" spans="1:8" x14ac:dyDescent="0.3">
      <c r="A109" s="248"/>
      <c r="B109" s="248"/>
      <c r="C109" s="248"/>
      <c r="D109" s="248"/>
      <c r="E109" s="248"/>
      <c r="F109" s="248"/>
      <c r="G109" s="248"/>
      <c r="H109" s="248"/>
    </row>
    <row r="110" spans="1:8" x14ac:dyDescent="0.3">
      <c r="A110" s="248"/>
      <c r="B110" s="248"/>
      <c r="C110" s="248"/>
      <c r="D110" s="248"/>
      <c r="E110" s="248"/>
      <c r="F110" s="248"/>
      <c r="G110" s="248"/>
      <c r="H110" s="248"/>
    </row>
    <row r="111" spans="1:8" x14ac:dyDescent="0.3">
      <c r="A111" s="248"/>
      <c r="B111" s="248"/>
      <c r="C111" s="248"/>
      <c r="D111" s="248"/>
      <c r="E111" s="248"/>
      <c r="F111" s="248"/>
      <c r="G111" s="248"/>
      <c r="H111" s="248"/>
    </row>
    <row r="112" spans="1:8" x14ac:dyDescent="0.3">
      <c r="A112" s="248"/>
      <c r="B112" s="248"/>
      <c r="C112" s="248"/>
      <c r="D112" s="248"/>
      <c r="E112" s="248"/>
      <c r="F112" s="248"/>
      <c r="G112" s="248"/>
      <c r="H112" s="248"/>
    </row>
    <row r="113" spans="1:8" x14ac:dyDescent="0.3">
      <c r="A113" s="248"/>
      <c r="B113" s="248"/>
      <c r="C113" s="248"/>
      <c r="D113" s="248"/>
      <c r="E113" s="248"/>
      <c r="F113" s="248"/>
      <c r="G113" s="248"/>
      <c r="H113" s="248"/>
    </row>
    <row r="114" spans="1:8" x14ac:dyDescent="0.3">
      <c r="A114" s="248"/>
      <c r="B114" s="248"/>
      <c r="C114" s="248"/>
      <c r="D114" s="248"/>
      <c r="E114" s="248"/>
      <c r="F114" s="248"/>
      <c r="G114" s="248"/>
      <c r="H114" s="248"/>
    </row>
    <row r="115" spans="1:8" x14ac:dyDescent="0.3">
      <c r="A115" s="248"/>
      <c r="B115" s="248"/>
      <c r="C115" s="248"/>
      <c r="D115" s="248"/>
      <c r="E115" s="248"/>
      <c r="F115" s="248"/>
      <c r="G115" s="248"/>
      <c r="H115" s="248"/>
    </row>
    <row r="116" spans="1:8" x14ac:dyDescent="0.3">
      <c r="A116" s="248"/>
      <c r="B116" s="248"/>
      <c r="C116" s="248"/>
      <c r="D116" s="248"/>
      <c r="E116" s="248"/>
      <c r="F116" s="248"/>
      <c r="G116" s="248"/>
      <c r="H116" s="248"/>
    </row>
    <row r="117" spans="1:8" x14ac:dyDescent="0.3">
      <c r="A117" s="248"/>
      <c r="B117" s="248"/>
      <c r="C117" s="248"/>
      <c r="D117" s="248"/>
      <c r="E117" s="248"/>
      <c r="F117" s="248"/>
      <c r="G117" s="248"/>
      <c r="H117" s="248"/>
    </row>
    <row r="118" spans="1:8" x14ac:dyDescent="0.3">
      <c r="A118" s="248"/>
      <c r="B118" s="248"/>
      <c r="C118" s="248"/>
      <c r="D118" s="248"/>
      <c r="E118" s="248"/>
      <c r="F118" s="248"/>
      <c r="G118" s="248"/>
      <c r="H118" s="248"/>
    </row>
    <row r="119" spans="1:8" x14ac:dyDescent="0.3">
      <c r="A119" s="248"/>
      <c r="B119" s="248"/>
      <c r="C119" s="248"/>
      <c r="D119" s="248"/>
      <c r="E119" s="248"/>
      <c r="F119" s="248"/>
      <c r="G119" s="248"/>
      <c r="H119" s="248"/>
    </row>
    <row r="120" spans="1:8" x14ac:dyDescent="0.3">
      <c r="A120" s="248"/>
      <c r="B120" s="248"/>
      <c r="C120" s="248"/>
      <c r="D120" s="248"/>
      <c r="E120" s="248"/>
      <c r="F120" s="248"/>
      <c r="G120" s="248"/>
      <c r="H120" s="248"/>
    </row>
    <row r="121" spans="1:8" x14ac:dyDescent="0.3">
      <c r="A121" s="248"/>
      <c r="B121" s="248"/>
      <c r="C121" s="248"/>
      <c r="D121" s="248"/>
      <c r="E121" s="248"/>
      <c r="F121" s="248"/>
      <c r="G121" s="248"/>
      <c r="H121" s="248"/>
    </row>
    <row r="122" spans="1:8" x14ac:dyDescent="0.3">
      <c r="A122" s="248"/>
      <c r="B122" s="248"/>
      <c r="C122" s="248"/>
      <c r="D122" s="248"/>
      <c r="E122" s="248"/>
      <c r="F122" s="248"/>
      <c r="G122" s="248"/>
      <c r="H122" s="248"/>
    </row>
    <row r="123" spans="1:8" x14ac:dyDescent="0.3">
      <c r="A123" s="248"/>
      <c r="B123" s="248"/>
      <c r="C123" s="248"/>
      <c r="D123" s="248"/>
      <c r="E123" s="248"/>
      <c r="F123" s="248"/>
      <c r="G123" s="248"/>
      <c r="H123" s="248"/>
    </row>
    <row r="124" spans="1:8" x14ac:dyDescent="0.3">
      <c r="A124" s="248"/>
      <c r="B124" s="248"/>
      <c r="C124" s="248"/>
      <c r="D124" s="248"/>
      <c r="E124" s="248"/>
      <c r="F124" s="248"/>
      <c r="G124" s="248"/>
      <c r="H124" s="248"/>
    </row>
    <row r="125" spans="1:8" x14ac:dyDescent="0.3">
      <c r="A125" s="248"/>
      <c r="B125" s="248"/>
      <c r="C125" s="248"/>
      <c r="D125" s="248"/>
      <c r="E125" s="248"/>
      <c r="F125" s="248"/>
      <c r="G125" s="248"/>
      <c r="H125" s="248"/>
    </row>
    <row r="126" spans="1:8" x14ac:dyDescent="0.3">
      <c r="A126" s="248"/>
      <c r="B126" s="248"/>
      <c r="C126" s="248"/>
      <c r="D126" s="248"/>
      <c r="E126" s="248"/>
      <c r="F126" s="248"/>
      <c r="G126" s="248"/>
      <c r="H126" s="248"/>
    </row>
    <row r="127" spans="1:8" x14ac:dyDescent="0.3">
      <c r="A127" s="248"/>
      <c r="B127" s="248"/>
      <c r="C127" s="248"/>
      <c r="D127" s="248"/>
      <c r="E127" s="248"/>
      <c r="F127" s="248"/>
      <c r="G127" s="248"/>
      <c r="H127" s="248"/>
    </row>
    <row r="128" spans="1:8" x14ac:dyDescent="0.3">
      <c r="A128" s="248"/>
      <c r="B128" s="248"/>
      <c r="C128" s="248"/>
      <c r="D128" s="248"/>
      <c r="E128" s="248"/>
      <c r="F128" s="248"/>
      <c r="G128" s="248"/>
      <c r="H128" s="248"/>
    </row>
    <row r="129" spans="1:8" x14ac:dyDescent="0.3">
      <c r="A129" s="248"/>
      <c r="B129" s="248"/>
      <c r="C129" s="248"/>
      <c r="D129" s="248"/>
      <c r="E129" s="248"/>
      <c r="F129" s="248"/>
      <c r="G129" s="248"/>
      <c r="H129" s="248"/>
    </row>
    <row r="130" spans="1:8" x14ac:dyDescent="0.3">
      <c r="A130" s="248"/>
      <c r="B130" s="248"/>
      <c r="C130" s="248"/>
      <c r="D130" s="248"/>
      <c r="E130" s="248"/>
      <c r="F130" s="248"/>
      <c r="G130" s="248"/>
      <c r="H130" s="248"/>
    </row>
    <row r="131" spans="1:8" x14ac:dyDescent="0.3">
      <c r="A131" s="248"/>
      <c r="B131" s="248"/>
      <c r="C131" s="248"/>
      <c r="D131" s="248"/>
      <c r="E131" s="248"/>
      <c r="F131" s="248"/>
      <c r="G131" s="248"/>
      <c r="H131" s="248"/>
    </row>
    <row r="132" spans="1:8" x14ac:dyDescent="0.3">
      <c r="A132" s="248"/>
      <c r="B132" s="248"/>
      <c r="C132" s="248"/>
      <c r="D132" s="248"/>
      <c r="E132" s="248"/>
      <c r="F132" s="248"/>
      <c r="G132" s="248"/>
      <c r="H132" s="248"/>
    </row>
    <row r="133" spans="1:8" x14ac:dyDescent="0.3">
      <c r="A133" s="248"/>
      <c r="B133" s="248"/>
      <c r="C133" s="248"/>
      <c r="D133" s="248"/>
      <c r="E133" s="248"/>
      <c r="F133" s="248"/>
      <c r="G133" s="248"/>
      <c r="H133" s="248"/>
    </row>
    <row r="134" spans="1:8" x14ac:dyDescent="0.3">
      <c r="A134" s="248"/>
      <c r="B134" s="248"/>
      <c r="C134" s="248"/>
      <c r="D134" s="248"/>
      <c r="E134" s="248"/>
      <c r="F134" s="248"/>
      <c r="G134" s="248"/>
      <c r="H134" s="248"/>
    </row>
    <row r="135" spans="1:8" x14ac:dyDescent="0.3">
      <c r="A135" s="248"/>
      <c r="B135" s="248"/>
      <c r="C135" s="248"/>
      <c r="D135" s="248"/>
      <c r="E135" s="248"/>
      <c r="F135" s="248"/>
      <c r="G135" s="248"/>
      <c r="H135" s="248"/>
    </row>
    <row r="136" spans="1:8" x14ac:dyDescent="0.3">
      <c r="A136" s="248"/>
      <c r="B136" s="248"/>
      <c r="C136" s="248"/>
      <c r="D136" s="248"/>
      <c r="E136" s="248"/>
      <c r="F136" s="248"/>
      <c r="G136" s="248"/>
      <c r="H136" s="248"/>
    </row>
    <row r="137" spans="1:8" x14ac:dyDescent="0.3">
      <c r="A137" s="248"/>
      <c r="B137" s="248"/>
      <c r="C137" s="248"/>
      <c r="D137" s="248"/>
      <c r="E137" s="248"/>
      <c r="F137" s="248"/>
      <c r="G137" s="248"/>
      <c r="H137" s="248"/>
    </row>
    <row r="138" spans="1:8" x14ac:dyDescent="0.3">
      <c r="A138" s="248"/>
      <c r="B138" s="248"/>
      <c r="C138" s="248"/>
      <c r="D138" s="248"/>
      <c r="E138" s="248"/>
      <c r="F138" s="248"/>
      <c r="G138" s="248"/>
      <c r="H138" s="248"/>
    </row>
    <row r="139" spans="1:8" x14ac:dyDescent="0.3">
      <c r="A139" s="248"/>
      <c r="B139" s="248"/>
      <c r="C139" s="248"/>
      <c r="D139" s="248"/>
      <c r="E139" s="248"/>
      <c r="F139" s="248"/>
      <c r="G139" s="248"/>
      <c r="H139" s="248"/>
    </row>
    <row r="140" spans="1:8" x14ac:dyDescent="0.3">
      <c r="A140" s="248"/>
      <c r="B140" s="248"/>
      <c r="C140" s="248"/>
      <c r="D140" s="248"/>
      <c r="E140" s="248"/>
      <c r="F140" s="248"/>
      <c r="G140" s="248"/>
      <c r="H140" s="248"/>
    </row>
    <row r="141" spans="1:8" x14ac:dyDescent="0.3">
      <c r="A141" s="248"/>
      <c r="B141" s="248"/>
      <c r="C141" s="248"/>
      <c r="D141" s="248"/>
      <c r="E141" s="248"/>
      <c r="F141" s="248"/>
      <c r="G141" s="248"/>
      <c r="H141" s="248"/>
    </row>
    <row r="142" spans="1:8" x14ac:dyDescent="0.3">
      <c r="A142" s="248"/>
      <c r="B142" s="248"/>
      <c r="C142" s="248"/>
      <c r="D142" s="248"/>
      <c r="E142" s="248"/>
      <c r="F142" s="248"/>
      <c r="G142" s="248"/>
      <c r="H142" s="248"/>
    </row>
    <row r="143" spans="1:8" x14ac:dyDescent="0.3">
      <c r="A143" s="248"/>
      <c r="B143" s="248"/>
      <c r="C143" s="248"/>
      <c r="D143" s="248"/>
      <c r="E143" s="248"/>
      <c r="F143" s="248"/>
      <c r="G143" s="248"/>
      <c r="H143" s="248"/>
    </row>
    <row r="144" spans="1:8" x14ac:dyDescent="0.3">
      <c r="A144" s="248"/>
      <c r="B144" s="248"/>
      <c r="C144" s="248"/>
      <c r="D144" s="248"/>
      <c r="E144" s="248"/>
      <c r="F144" s="248"/>
      <c r="G144" s="248"/>
      <c r="H144" s="248"/>
    </row>
    <row r="145" spans="1:8" x14ac:dyDescent="0.3">
      <c r="A145" s="248"/>
      <c r="B145" s="248"/>
      <c r="C145" s="248"/>
      <c r="D145" s="248"/>
      <c r="E145" s="248"/>
      <c r="F145" s="248"/>
      <c r="G145" s="248"/>
      <c r="H145" s="248"/>
    </row>
    <row r="146" spans="1:8" x14ac:dyDescent="0.3">
      <c r="A146" s="248"/>
      <c r="B146" s="248"/>
      <c r="C146" s="248"/>
      <c r="D146" s="248"/>
      <c r="E146" s="248"/>
      <c r="F146" s="248"/>
      <c r="G146" s="248"/>
      <c r="H146" s="248"/>
    </row>
    <row r="147" spans="1:8" x14ac:dyDescent="0.3">
      <c r="A147" s="248"/>
      <c r="B147" s="248"/>
      <c r="C147" s="248"/>
      <c r="D147" s="248"/>
      <c r="E147" s="248"/>
      <c r="F147" s="248"/>
      <c r="G147" s="248"/>
      <c r="H147" s="248"/>
    </row>
    <row r="148" spans="1:8" x14ac:dyDescent="0.3">
      <c r="A148" s="248"/>
      <c r="B148" s="248"/>
      <c r="C148" s="248"/>
      <c r="D148" s="248"/>
      <c r="E148" s="248"/>
      <c r="F148" s="248"/>
      <c r="G148" s="248"/>
      <c r="H148" s="248"/>
    </row>
    <row r="149" spans="1:8" x14ac:dyDescent="0.3">
      <c r="A149" s="248"/>
      <c r="B149" s="248"/>
      <c r="C149" s="248"/>
      <c r="D149" s="248"/>
      <c r="E149" s="248"/>
      <c r="F149" s="248"/>
      <c r="G149" s="248"/>
      <c r="H149" s="248"/>
    </row>
    <row r="150" spans="1:8" x14ac:dyDescent="0.3">
      <c r="A150" s="248"/>
      <c r="B150" s="248"/>
      <c r="C150" s="248"/>
      <c r="D150" s="248"/>
      <c r="E150" s="248"/>
      <c r="F150" s="248"/>
      <c r="G150" s="248"/>
      <c r="H150" s="248"/>
    </row>
    <row r="151" spans="1:8" x14ac:dyDescent="0.3">
      <c r="A151" s="248"/>
      <c r="B151" s="248"/>
      <c r="C151" s="248"/>
      <c r="D151" s="248"/>
      <c r="E151" s="248"/>
      <c r="F151" s="248"/>
      <c r="G151" s="248"/>
      <c r="H151" s="248"/>
    </row>
    <row r="152" spans="1:8" x14ac:dyDescent="0.3">
      <c r="A152" s="248"/>
      <c r="B152" s="248"/>
      <c r="C152" s="248"/>
      <c r="D152" s="248"/>
      <c r="E152" s="248"/>
      <c r="F152" s="248"/>
      <c r="G152" s="248"/>
      <c r="H152" s="248"/>
    </row>
    <row r="153" spans="1:8" x14ac:dyDescent="0.3">
      <c r="A153" s="248"/>
      <c r="B153" s="248"/>
      <c r="C153" s="248"/>
      <c r="D153" s="248"/>
      <c r="E153" s="248"/>
      <c r="F153" s="248"/>
      <c r="G153" s="248"/>
      <c r="H153" s="248"/>
    </row>
    <row r="154" spans="1:8" x14ac:dyDescent="0.3">
      <c r="A154" s="248"/>
      <c r="B154" s="248"/>
      <c r="C154" s="248"/>
      <c r="D154" s="248"/>
      <c r="E154" s="248"/>
      <c r="F154" s="248"/>
      <c r="G154" s="248"/>
      <c r="H154" s="248"/>
    </row>
    <row r="155" spans="1:8" x14ac:dyDescent="0.3">
      <c r="A155" s="248"/>
      <c r="B155" s="248"/>
      <c r="C155" s="248"/>
      <c r="D155" s="248"/>
      <c r="E155" s="248"/>
      <c r="F155" s="248"/>
      <c r="G155" s="248"/>
      <c r="H155" s="248"/>
    </row>
    <row r="156" spans="1:8" x14ac:dyDescent="0.3">
      <c r="A156" s="248"/>
      <c r="B156" s="248"/>
      <c r="C156" s="248"/>
      <c r="D156" s="248"/>
      <c r="E156" s="248"/>
      <c r="F156" s="248"/>
      <c r="G156" s="248"/>
      <c r="H156" s="248"/>
    </row>
    <row r="157" spans="1:8" x14ac:dyDescent="0.3">
      <c r="A157" s="248"/>
      <c r="B157" s="248"/>
      <c r="C157" s="248"/>
      <c r="D157" s="248"/>
      <c r="E157" s="248"/>
      <c r="F157" s="248"/>
      <c r="G157" s="248"/>
      <c r="H157" s="248"/>
    </row>
    <row r="158" spans="1:8" x14ac:dyDescent="0.3">
      <c r="A158" s="248"/>
      <c r="B158" s="248"/>
      <c r="C158" s="248"/>
      <c r="D158" s="248"/>
      <c r="E158" s="248"/>
      <c r="F158" s="248"/>
      <c r="G158" s="248"/>
      <c r="H158" s="248"/>
    </row>
    <row r="159" spans="1:8" x14ac:dyDescent="0.3">
      <c r="A159" s="248"/>
      <c r="B159" s="248"/>
      <c r="C159" s="248"/>
      <c r="D159" s="248"/>
      <c r="E159" s="248"/>
      <c r="F159" s="248"/>
      <c r="G159" s="248"/>
      <c r="H159" s="248"/>
    </row>
    <row r="160" spans="1:8" x14ac:dyDescent="0.3">
      <c r="A160" s="248"/>
      <c r="B160" s="248"/>
      <c r="C160" s="248"/>
      <c r="D160" s="248"/>
      <c r="E160" s="248"/>
      <c r="F160" s="248"/>
      <c r="G160" s="248"/>
      <c r="H160" s="248"/>
    </row>
    <row r="161" spans="1:8" x14ac:dyDescent="0.3">
      <c r="A161" s="248"/>
      <c r="B161" s="248"/>
      <c r="C161" s="248"/>
      <c r="D161" s="248"/>
      <c r="E161" s="248"/>
      <c r="F161" s="248"/>
      <c r="G161" s="248"/>
      <c r="H161" s="248"/>
    </row>
    <row r="162" spans="1:8" x14ac:dyDescent="0.3">
      <c r="A162" s="248"/>
      <c r="B162" s="248"/>
      <c r="C162" s="248"/>
      <c r="D162" s="248"/>
      <c r="E162" s="248"/>
      <c r="F162" s="248"/>
      <c r="G162" s="248"/>
      <c r="H162" s="248"/>
    </row>
    <row r="163" spans="1:8" x14ac:dyDescent="0.3">
      <c r="A163" s="248"/>
      <c r="B163" s="248"/>
      <c r="C163" s="248"/>
      <c r="D163" s="248"/>
      <c r="E163" s="248"/>
      <c r="F163" s="248"/>
      <c r="G163" s="248"/>
      <c r="H163" s="248"/>
    </row>
    <row r="164" spans="1:8" x14ac:dyDescent="0.3">
      <c r="A164" s="248"/>
      <c r="B164" s="248"/>
      <c r="C164" s="248"/>
      <c r="D164" s="248"/>
      <c r="E164" s="248"/>
      <c r="F164" s="248"/>
      <c r="G164" s="248"/>
      <c r="H164" s="248"/>
    </row>
    <row r="165" spans="1:8" x14ac:dyDescent="0.3">
      <c r="A165" s="248"/>
      <c r="B165" s="248"/>
      <c r="C165" s="248"/>
      <c r="D165" s="248"/>
      <c r="E165" s="248"/>
      <c r="F165" s="248"/>
      <c r="G165" s="248"/>
      <c r="H165" s="248"/>
    </row>
    <row r="166" spans="1:8" x14ac:dyDescent="0.3">
      <c r="A166" s="248"/>
      <c r="B166" s="248"/>
      <c r="C166" s="248"/>
      <c r="D166" s="248"/>
      <c r="E166" s="248"/>
      <c r="F166" s="248"/>
      <c r="G166" s="248"/>
      <c r="H166" s="248"/>
    </row>
    <row r="167" spans="1:8" x14ac:dyDescent="0.3">
      <c r="A167" s="248"/>
      <c r="B167" s="248"/>
      <c r="C167" s="248"/>
      <c r="D167" s="248"/>
      <c r="E167" s="248"/>
      <c r="F167" s="248"/>
      <c r="G167" s="248"/>
      <c r="H167" s="248"/>
    </row>
    <row r="168" spans="1:8" x14ac:dyDescent="0.3">
      <c r="A168" s="248"/>
      <c r="B168" s="248"/>
      <c r="C168" s="248"/>
      <c r="D168" s="248"/>
      <c r="E168" s="248"/>
      <c r="F168" s="248"/>
      <c r="G168" s="248"/>
      <c r="H168" s="248"/>
    </row>
    <row r="169" spans="1:8" x14ac:dyDescent="0.3">
      <c r="A169" s="248"/>
      <c r="B169" s="248"/>
      <c r="C169" s="248"/>
      <c r="D169" s="248"/>
      <c r="E169" s="248"/>
      <c r="F169" s="248"/>
      <c r="G169" s="248"/>
      <c r="H169" s="248"/>
    </row>
    <row r="170" spans="1:8" x14ac:dyDescent="0.3">
      <c r="A170" s="248"/>
      <c r="B170" s="248"/>
      <c r="C170" s="248"/>
      <c r="D170" s="248"/>
      <c r="E170" s="248"/>
      <c r="F170" s="248"/>
      <c r="G170" s="248"/>
      <c r="H170" s="248"/>
    </row>
    <row r="171" spans="1:8" x14ac:dyDescent="0.3">
      <c r="A171" s="248"/>
      <c r="B171" s="248"/>
      <c r="C171" s="248"/>
      <c r="D171" s="248"/>
      <c r="E171" s="248"/>
      <c r="F171" s="248"/>
      <c r="G171" s="248"/>
      <c r="H171" s="248"/>
    </row>
    <row r="172" spans="1:8" x14ac:dyDescent="0.3">
      <c r="A172" s="248"/>
      <c r="B172" s="248"/>
      <c r="C172" s="248"/>
      <c r="D172" s="248"/>
      <c r="E172" s="248"/>
      <c r="F172" s="248"/>
      <c r="G172" s="248"/>
      <c r="H172" s="248"/>
    </row>
    <row r="173" spans="1:8" x14ac:dyDescent="0.3">
      <c r="A173" s="248"/>
      <c r="B173" s="248"/>
      <c r="C173" s="248"/>
      <c r="D173" s="248"/>
      <c r="E173" s="248"/>
      <c r="F173" s="248"/>
      <c r="G173" s="248"/>
      <c r="H173" s="248"/>
    </row>
    <row r="174" spans="1:8" x14ac:dyDescent="0.3">
      <c r="A174" s="248"/>
      <c r="B174" s="248"/>
      <c r="C174" s="248"/>
      <c r="D174" s="248"/>
      <c r="E174" s="248"/>
      <c r="F174" s="248"/>
      <c r="G174" s="248"/>
      <c r="H174" s="248"/>
    </row>
    <row r="175" spans="1:8" x14ac:dyDescent="0.3">
      <c r="A175" s="248"/>
      <c r="B175" s="248"/>
      <c r="C175" s="248"/>
      <c r="D175" s="248"/>
      <c r="E175" s="248"/>
      <c r="F175" s="248"/>
      <c r="G175" s="248"/>
      <c r="H175" s="248"/>
    </row>
    <row r="176" spans="1:8" x14ac:dyDescent="0.3">
      <c r="A176" s="248"/>
      <c r="B176" s="248"/>
      <c r="C176" s="248"/>
      <c r="D176" s="248"/>
      <c r="E176" s="248"/>
      <c r="F176" s="248"/>
      <c r="G176" s="248"/>
      <c r="H176" s="248"/>
    </row>
    <row r="177" spans="1:8" x14ac:dyDescent="0.3">
      <c r="A177" s="248"/>
      <c r="B177" s="248"/>
      <c r="C177" s="248"/>
      <c r="D177" s="248"/>
      <c r="E177" s="248"/>
      <c r="F177" s="248"/>
      <c r="G177" s="248"/>
      <c r="H177" s="248"/>
    </row>
    <row r="178" spans="1:8" x14ac:dyDescent="0.3">
      <c r="A178" s="248"/>
      <c r="B178" s="248"/>
      <c r="C178" s="248"/>
      <c r="D178" s="248"/>
      <c r="E178" s="248"/>
      <c r="F178" s="248"/>
      <c r="G178" s="248"/>
      <c r="H178" s="248"/>
    </row>
    <row r="179" spans="1:8" x14ac:dyDescent="0.3">
      <c r="A179" s="248"/>
      <c r="B179" s="248"/>
      <c r="C179" s="248"/>
      <c r="D179" s="248"/>
      <c r="E179" s="248"/>
      <c r="F179" s="248"/>
      <c r="G179" s="248"/>
      <c r="H179" s="248"/>
    </row>
    <row r="180" spans="1:8" x14ac:dyDescent="0.3">
      <c r="A180" s="248"/>
      <c r="B180" s="248"/>
      <c r="C180" s="248"/>
      <c r="D180" s="248"/>
      <c r="E180" s="248"/>
      <c r="F180" s="248"/>
      <c r="G180" s="248"/>
      <c r="H180" s="248"/>
    </row>
    <row r="181" spans="1:8" x14ac:dyDescent="0.3">
      <c r="A181" s="248"/>
      <c r="B181" s="248"/>
      <c r="C181" s="248"/>
      <c r="D181" s="248"/>
      <c r="E181" s="248"/>
      <c r="F181" s="248"/>
      <c r="G181" s="248"/>
      <c r="H181" s="248"/>
    </row>
    <row r="182" spans="1:8" x14ac:dyDescent="0.3">
      <c r="A182" s="248"/>
      <c r="B182" s="248"/>
      <c r="C182" s="248"/>
      <c r="D182" s="248"/>
      <c r="E182" s="248"/>
      <c r="F182" s="248"/>
      <c r="G182" s="248"/>
      <c r="H182" s="248"/>
    </row>
    <row r="183" spans="1:8" x14ac:dyDescent="0.3">
      <c r="A183" s="248"/>
      <c r="B183" s="248"/>
      <c r="C183" s="248"/>
      <c r="D183" s="248"/>
      <c r="E183" s="248"/>
      <c r="F183" s="248"/>
      <c r="G183" s="248"/>
      <c r="H183" s="248"/>
    </row>
    <row r="184" spans="1:8" x14ac:dyDescent="0.3">
      <c r="A184" s="248"/>
      <c r="B184" s="248"/>
      <c r="C184" s="248"/>
      <c r="D184" s="248"/>
      <c r="E184" s="248"/>
      <c r="F184" s="248"/>
      <c r="G184" s="248"/>
      <c r="H184" s="248"/>
    </row>
    <row r="185" spans="1:8" x14ac:dyDescent="0.3">
      <c r="A185" s="248"/>
      <c r="B185" s="248"/>
      <c r="C185" s="248"/>
      <c r="D185" s="248"/>
      <c r="E185" s="248"/>
      <c r="F185" s="248"/>
      <c r="G185" s="248"/>
      <c r="H185" s="248"/>
    </row>
    <row r="186" spans="1:8" x14ac:dyDescent="0.3">
      <c r="A186" s="248"/>
      <c r="B186" s="248"/>
      <c r="C186" s="248"/>
      <c r="D186" s="248"/>
      <c r="E186" s="248"/>
      <c r="F186" s="248"/>
      <c r="G186" s="248"/>
      <c r="H186" s="248"/>
    </row>
    <row r="187" spans="1:8" x14ac:dyDescent="0.3">
      <c r="A187" s="248"/>
      <c r="B187" s="248"/>
      <c r="C187" s="248"/>
      <c r="D187" s="248"/>
      <c r="E187" s="248"/>
      <c r="F187" s="248"/>
      <c r="G187" s="248"/>
      <c r="H187" s="248"/>
    </row>
    <row r="188" spans="1:8" x14ac:dyDescent="0.3">
      <c r="A188" s="248"/>
      <c r="B188" s="248"/>
      <c r="C188" s="248"/>
      <c r="D188" s="248"/>
      <c r="E188" s="248"/>
      <c r="F188" s="248"/>
      <c r="G188" s="248"/>
      <c r="H188" s="248"/>
    </row>
    <row r="189" spans="1:8" x14ac:dyDescent="0.3">
      <c r="A189" s="248"/>
      <c r="B189" s="248"/>
      <c r="C189" s="248"/>
      <c r="D189" s="248"/>
      <c r="E189" s="248"/>
      <c r="F189" s="248"/>
      <c r="G189" s="248"/>
      <c r="H189" s="248"/>
    </row>
    <row r="190" spans="1:8" x14ac:dyDescent="0.3">
      <c r="A190" s="248"/>
      <c r="B190" s="248"/>
      <c r="C190" s="248"/>
      <c r="D190" s="248"/>
      <c r="E190" s="248"/>
      <c r="F190" s="248"/>
      <c r="G190" s="248"/>
      <c r="H190" s="248"/>
    </row>
    <row r="191" spans="1:8" x14ac:dyDescent="0.3">
      <c r="A191" s="248"/>
      <c r="B191" s="248"/>
      <c r="C191" s="248"/>
      <c r="D191" s="248"/>
      <c r="E191" s="248"/>
      <c r="F191" s="248"/>
      <c r="G191" s="248"/>
      <c r="H191" s="248"/>
    </row>
    <row r="192" spans="1:8" x14ac:dyDescent="0.3">
      <c r="A192" s="248"/>
      <c r="B192" s="248"/>
      <c r="C192" s="248"/>
      <c r="D192" s="248"/>
      <c r="E192" s="248"/>
      <c r="F192" s="248"/>
      <c r="G192" s="248"/>
      <c r="H192" s="248"/>
    </row>
    <row r="193" spans="1:8" x14ac:dyDescent="0.3">
      <c r="A193" s="248"/>
      <c r="B193" s="248"/>
      <c r="C193" s="248"/>
      <c r="D193" s="248"/>
      <c r="E193" s="248"/>
      <c r="F193" s="248"/>
      <c r="G193" s="248"/>
      <c r="H193" s="248"/>
    </row>
    <row r="194" spans="1:8" x14ac:dyDescent="0.3">
      <c r="A194" s="248"/>
      <c r="B194" s="248"/>
      <c r="C194" s="248"/>
      <c r="D194" s="248"/>
      <c r="E194" s="248"/>
      <c r="F194" s="248"/>
      <c r="G194" s="248"/>
      <c r="H194" s="248"/>
    </row>
    <row r="195" spans="1:8" x14ac:dyDescent="0.3">
      <c r="A195" s="248"/>
      <c r="B195" s="248"/>
      <c r="C195" s="248"/>
      <c r="D195" s="248"/>
      <c r="E195" s="248"/>
      <c r="F195" s="248"/>
      <c r="G195" s="248"/>
      <c r="H195" s="248"/>
    </row>
    <row r="196" spans="1:8" x14ac:dyDescent="0.3">
      <c r="A196" s="248"/>
      <c r="B196" s="248"/>
      <c r="C196" s="248"/>
      <c r="D196" s="248"/>
      <c r="E196" s="248"/>
      <c r="F196" s="248"/>
      <c r="G196" s="248"/>
      <c r="H196" s="248"/>
    </row>
    <row r="197" spans="1:8" x14ac:dyDescent="0.3">
      <c r="A197" s="248"/>
      <c r="B197" s="248"/>
      <c r="C197" s="248"/>
      <c r="D197" s="248"/>
      <c r="E197" s="248"/>
      <c r="F197" s="248"/>
      <c r="G197" s="248"/>
      <c r="H197" s="248"/>
    </row>
    <row r="198" spans="1:8" x14ac:dyDescent="0.3">
      <c r="A198" s="248"/>
      <c r="B198" s="248"/>
      <c r="C198" s="248"/>
      <c r="D198" s="248"/>
      <c r="E198" s="248"/>
      <c r="F198" s="248"/>
      <c r="G198" s="248"/>
      <c r="H198" s="248"/>
    </row>
    <row r="199" spans="1:8" x14ac:dyDescent="0.3">
      <c r="A199" s="248"/>
      <c r="B199" s="248"/>
      <c r="C199" s="248"/>
      <c r="D199" s="248"/>
      <c r="E199" s="248"/>
      <c r="F199" s="248"/>
      <c r="G199" s="248"/>
      <c r="H199" s="248"/>
    </row>
    <row r="200" spans="1:8" x14ac:dyDescent="0.3">
      <c r="A200" s="248"/>
      <c r="B200" s="248"/>
      <c r="C200" s="248"/>
      <c r="D200" s="248"/>
      <c r="E200" s="248"/>
      <c r="F200" s="248"/>
      <c r="G200" s="248"/>
      <c r="H200" s="248"/>
    </row>
    <row r="201" spans="1:8" x14ac:dyDescent="0.3">
      <c r="A201" s="248"/>
      <c r="B201" s="248"/>
      <c r="C201" s="248"/>
      <c r="D201" s="248"/>
      <c r="E201" s="248"/>
      <c r="F201" s="248"/>
      <c r="G201" s="248"/>
      <c r="H201" s="248"/>
    </row>
    <row r="202" spans="1:8" x14ac:dyDescent="0.3">
      <c r="A202" s="248"/>
      <c r="B202" s="248"/>
      <c r="C202" s="248"/>
      <c r="D202" s="248"/>
      <c r="E202" s="248"/>
      <c r="F202" s="248"/>
      <c r="G202" s="248"/>
      <c r="H202" s="248"/>
    </row>
    <row r="203" spans="1:8" x14ac:dyDescent="0.3">
      <c r="A203" s="248"/>
      <c r="B203" s="248"/>
      <c r="C203" s="248"/>
      <c r="D203" s="248"/>
      <c r="E203" s="248"/>
      <c r="F203" s="248"/>
      <c r="G203" s="248"/>
      <c r="H203" s="248"/>
    </row>
    <row r="204" spans="1:8" x14ac:dyDescent="0.3">
      <c r="B204" s="248"/>
      <c r="C204" s="248"/>
      <c r="D204" s="248"/>
      <c r="E204" s="248"/>
      <c r="F204" s="248"/>
      <c r="G204" s="248"/>
      <c r="H204" s="248"/>
    </row>
    <row r="205" spans="1:8" x14ac:dyDescent="0.3">
      <c r="B205" s="248"/>
      <c r="C205" s="248"/>
      <c r="D205" s="248"/>
      <c r="E205" s="248"/>
      <c r="F205" s="248"/>
      <c r="G205" s="248"/>
      <c r="H205" s="248"/>
    </row>
    <row r="206" spans="1:8" x14ac:dyDescent="0.3">
      <c r="B206" s="248"/>
      <c r="C206" s="248"/>
      <c r="D206" s="248"/>
      <c r="E206" s="248"/>
      <c r="F206" s="248"/>
      <c r="G206" s="248"/>
      <c r="H206" s="248"/>
    </row>
  </sheetData>
  <pageMargins left="0.7" right="0.7" top="0.75" bottom="0.75" header="0.3" footer="0.3"/>
  <pageSetup paperSize="9" scale="58" fitToHeight="0" orientation="landscape" r:id="rId1"/>
  <drawing r:id="rId2"/>
</worksheet>
</file>

<file path=xl/worksheets/sheet1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31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0.21875" style="161" customWidth="1"/>
    <col min="9" max="9" width="15.5546875" style="161" bestFit="1" customWidth="1"/>
    <col min="10" max="10" width="14" style="161" bestFit="1" customWidth="1"/>
    <col min="11" max="11" width="10.44140625" style="161" bestFit="1" customWidth="1"/>
    <col min="12" max="12" width="11.33203125" style="161" bestFit="1" customWidth="1"/>
    <col min="13" max="13" width="13.441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N11+I19</f>
        <v>4.6268039999999999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1804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1807</v>
      </c>
      <c r="D4" s="570" t="s">
        <v>541</v>
      </c>
      <c r="J4" s="570" t="s">
        <v>538</v>
      </c>
      <c r="M4" s="570" t="s">
        <v>539</v>
      </c>
      <c r="N4" s="336">
        <f>N1*N2</f>
        <v>9.2536079999999998</v>
      </c>
    </row>
    <row r="5" spans="1:14" x14ac:dyDescent="0.3">
      <c r="A5" s="570" t="s">
        <v>537</v>
      </c>
      <c r="B5" s="166" t="s">
        <v>258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1117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432" customFormat="1" ht="30.6" customHeight="1" x14ac:dyDescent="0.3">
      <c r="A10" s="621">
        <v>10</v>
      </c>
      <c r="B10" s="190" t="s">
        <v>1823</v>
      </c>
      <c r="C10" s="621"/>
      <c r="D10" s="241">
        <v>3.3</v>
      </c>
      <c r="E10" s="621">
        <v>0.04</v>
      </c>
      <c r="F10" s="621" t="s">
        <v>644</v>
      </c>
      <c r="G10" s="621">
        <v>3.5000000000000003E-2</v>
      </c>
      <c r="H10" s="621" t="s">
        <v>644</v>
      </c>
      <c r="I10" s="622" t="s">
        <v>1830</v>
      </c>
      <c r="J10" s="621">
        <f>E10*G10</f>
        <v>1.4000000000000002E-3</v>
      </c>
      <c r="K10" s="621">
        <v>0.02</v>
      </c>
      <c r="L10" s="621">
        <v>1210</v>
      </c>
      <c r="M10" s="206">
        <v>1</v>
      </c>
      <c r="N10" s="385">
        <f>IF(J10="",D10*M10,D10*J10*K10*L10*M10)</f>
        <v>0.11180400000000003</v>
      </c>
    </row>
    <row r="11" spans="1:14" s="178" customFormat="1" x14ac:dyDescent="0.3">
      <c r="M11" s="620" t="s">
        <v>547</v>
      </c>
      <c r="N11" s="619">
        <f>SUM(N10:N10)</f>
        <v>0.11180400000000003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ht="27.6" customHeight="1" x14ac:dyDescent="0.3">
      <c r="A14" s="168">
        <v>10</v>
      </c>
      <c r="B14" s="180" t="s">
        <v>589</v>
      </c>
      <c r="C14" s="193"/>
      <c r="D14" s="323">
        <v>1.3</v>
      </c>
      <c r="E14" s="168"/>
      <c r="F14" s="168">
        <v>1</v>
      </c>
      <c r="G14" s="168"/>
      <c r="H14" s="168"/>
      <c r="I14" s="323">
        <f>IF('FR 06002'!$H14&lt;&gt;"",'FR 06002'!$D14*'FR 06002'!$F14*'FR 06002'!$H14,'FR 06002'!$D14*'FR 06002'!$F14)</f>
        <v>1.3</v>
      </c>
    </row>
    <row r="15" spans="1:14" ht="27.6" customHeight="1" x14ac:dyDescent="0.3">
      <c r="A15" s="168">
        <v>20</v>
      </c>
      <c r="B15" s="180" t="s">
        <v>609</v>
      </c>
      <c r="C15" s="193"/>
      <c r="D15" s="323">
        <v>0.04</v>
      </c>
      <c r="E15" s="168" t="s">
        <v>610</v>
      </c>
      <c r="F15" s="168">
        <v>23.5</v>
      </c>
      <c r="G15" s="184" t="s">
        <v>1826</v>
      </c>
      <c r="H15" s="168">
        <v>0.5</v>
      </c>
      <c r="I15" s="323">
        <f>IF('FR 06002'!$H15&lt;&gt;"",'FR 06002'!$D15*'FR 06002'!$F15*'FR 06002'!$H15,'FR 06002'!$D15*'FR 06002'!$F15)</f>
        <v>0.47000000000000003</v>
      </c>
    </row>
    <row r="16" spans="1:14" ht="48" customHeight="1" x14ac:dyDescent="0.3">
      <c r="A16" s="168">
        <v>30</v>
      </c>
      <c r="B16" s="180" t="s">
        <v>791</v>
      </c>
      <c r="C16" s="193" t="s">
        <v>1831</v>
      </c>
      <c r="D16" s="323">
        <v>0.35</v>
      </c>
      <c r="E16" s="180" t="s">
        <v>556</v>
      </c>
      <c r="F16" s="168">
        <v>1</v>
      </c>
      <c r="G16" s="168"/>
      <c r="H16" s="168">
        <v>1.5</v>
      </c>
      <c r="I16" s="323">
        <f>IF('FR 06002'!$H16&lt;&gt;"",'FR 06002'!$D16*'FR 06002'!$F16*'FR 06002'!$H16,'FR 06002'!$D16*'FR 06002'!$F16)</f>
        <v>0.52499999999999991</v>
      </c>
    </row>
    <row r="17" spans="1:11" ht="42.6" customHeight="1" x14ac:dyDescent="0.3">
      <c r="A17" s="168">
        <v>40</v>
      </c>
      <c r="B17" s="315" t="s">
        <v>791</v>
      </c>
      <c r="C17" s="193" t="s">
        <v>1832</v>
      </c>
      <c r="D17" s="323">
        <v>0.35</v>
      </c>
      <c r="E17" s="168"/>
      <c r="F17" s="168">
        <v>6</v>
      </c>
      <c r="G17" s="168"/>
      <c r="H17" s="168"/>
      <c r="I17" s="323">
        <f>IF('FR 06002'!$H17&lt;&gt;"",'FR 06002'!$D17*'FR 06002'!$F17*'FR 06002'!$H17,'FR 06002'!$D17*'FR 06002'!$F17)</f>
        <v>2.0999999999999996</v>
      </c>
    </row>
    <row r="18" spans="1:11" ht="28.8" x14ac:dyDescent="0.3">
      <c r="A18" s="168">
        <v>50</v>
      </c>
      <c r="B18" s="180" t="s">
        <v>1345</v>
      </c>
      <c r="C18" s="193" t="s">
        <v>1833</v>
      </c>
      <c r="D18" s="323">
        <v>0.1</v>
      </c>
      <c r="E18" s="168" t="s">
        <v>593</v>
      </c>
      <c r="F18" s="168">
        <v>2.4</v>
      </c>
      <c r="G18" s="168"/>
      <c r="H18" s="168">
        <v>0.5</v>
      </c>
      <c r="I18" s="323">
        <f>IF('FR 06002'!$H18&lt;&gt;"",'FR 06002'!$D18*'FR 06002'!$F18*'FR 06002'!$H18,'FR 06002'!$D18*'FR 06002'!$F18)</f>
        <v>0.12</v>
      </c>
    </row>
    <row r="19" spans="1:11" s="178" customFormat="1" x14ac:dyDescent="0.3">
      <c r="H19" s="620" t="s">
        <v>547</v>
      </c>
      <c r="I19" s="619">
        <f>SUM(I14:I18)</f>
        <v>4.5149999999999997</v>
      </c>
    </row>
    <row r="21" spans="1:11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</row>
    <row r="26" spans="1:11" s="178" customFormat="1" x14ac:dyDescent="0.3">
      <c r="A26" s="161"/>
      <c r="B26" s="161"/>
      <c r="C26" s="161"/>
      <c r="D26" s="161"/>
      <c r="E26" s="161"/>
      <c r="F26" s="161"/>
      <c r="G26" s="161"/>
      <c r="H26" s="161"/>
      <c r="I26" s="161"/>
      <c r="J26" s="161"/>
      <c r="K26" s="161"/>
    </row>
    <row r="28" spans="1:11" s="178" customFormat="1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</row>
    <row r="31" spans="1:11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</row>
  </sheetData>
  <pageMargins left="0.5" right="0.5" top="0.75" bottom="0.75" header="0.3" footer="0.3"/>
  <pageSetup paperSize="9" scale="72" orientation="landscape" r:id="rId1"/>
</worksheet>
</file>

<file path=xl/worksheets/sheet1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N11+I16</f>
        <v>4.6570125000000004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1804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1808</v>
      </c>
      <c r="D4" s="570" t="s">
        <v>541</v>
      </c>
      <c r="J4" s="570" t="s">
        <v>538</v>
      </c>
      <c r="M4" s="570" t="s">
        <v>539</v>
      </c>
      <c r="N4" s="336">
        <f>N1*N2</f>
        <v>9.3140250000000009</v>
      </c>
    </row>
    <row r="5" spans="1:14" x14ac:dyDescent="0.3">
      <c r="A5" s="570" t="s">
        <v>537</v>
      </c>
      <c r="B5" s="166" t="s">
        <v>259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1117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311" customFormat="1" ht="28.8" x14ac:dyDescent="0.3">
      <c r="A10" s="183">
        <v>10</v>
      </c>
      <c r="B10" s="190" t="s">
        <v>846</v>
      </c>
      <c r="C10" s="183"/>
      <c r="D10" s="241">
        <v>22</v>
      </c>
      <c r="E10" s="183">
        <v>0.125</v>
      </c>
      <c r="F10" s="183" t="s">
        <v>644</v>
      </c>
      <c r="G10" s="183">
        <v>4.4999999999999998E-2</v>
      </c>
      <c r="H10" s="204" t="s">
        <v>644</v>
      </c>
      <c r="I10" s="269" t="s">
        <v>1834</v>
      </c>
      <c r="J10" s="618">
        <f>E10*G10</f>
        <v>5.6249999999999998E-3</v>
      </c>
      <c r="K10" s="207">
        <v>1.5E-3</v>
      </c>
      <c r="L10" s="204">
        <v>7860</v>
      </c>
      <c r="M10" s="183">
        <v>1</v>
      </c>
      <c r="N10" s="385">
        <f>IF(J10="",D10*M10,D10*J10*K10*L10*M10)</f>
        <v>1.4590125</v>
      </c>
    </row>
    <row r="11" spans="1:14" s="178" customFormat="1" x14ac:dyDescent="0.3">
      <c r="M11" s="620" t="s">
        <v>547</v>
      </c>
      <c r="N11" s="619">
        <f>SUM(N10:N10)</f>
        <v>1.4590125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ht="43.2" x14ac:dyDescent="0.3">
      <c r="A14" s="168">
        <v>10</v>
      </c>
      <c r="B14" s="180" t="s">
        <v>589</v>
      </c>
      <c r="C14" s="193"/>
      <c r="D14" s="323">
        <v>1.3</v>
      </c>
      <c r="E14" s="168"/>
      <c r="F14" s="168">
        <v>1</v>
      </c>
      <c r="G14" s="168"/>
      <c r="H14" s="168"/>
      <c r="I14" s="323">
        <f>IF('FR 06003'!$H14&lt;&gt;"",'FR 06003'!$D14*'FR 06003'!$F14*'FR 06003'!$H14,'FR 06003'!$D14*'FR 06003'!$F14)</f>
        <v>1.3</v>
      </c>
    </row>
    <row r="15" spans="1:14" ht="28.8" x14ac:dyDescent="0.3">
      <c r="A15" s="168">
        <v>20</v>
      </c>
      <c r="B15" s="180" t="s">
        <v>700</v>
      </c>
      <c r="C15" s="193" t="s">
        <v>1835</v>
      </c>
      <c r="D15" s="323">
        <v>0.01</v>
      </c>
      <c r="E15" s="168" t="s">
        <v>593</v>
      </c>
      <c r="F15" s="168">
        <v>52</v>
      </c>
      <c r="G15" s="184" t="s">
        <v>1836</v>
      </c>
      <c r="H15" s="168">
        <v>3.65</v>
      </c>
      <c r="I15" s="323">
        <f>IF('FR 06003'!$H15&lt;&gt;"",'FR 06003'!$D15*'FR 06003'!$F15*'FR 06003'!$H15,'FR 06003'!$D15*'FR 06003'!$F15)</f>
        <v>1.8979999999999999</v>
      </c>
    </row>
    <row r="16" spans="1:14" s="178" customFormat="1" x14ac:dyDescent="0.3">
      <c r="H16" s="620" t="s">
        <v>547</v>
      </c>
      <c r="I16" s="619">
        <f>SUM(I14:I15)</f>
        <v>3.198</v>
      </c>
    </row>
    <row r="21" spans="1:11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</row>
    <row r="23" spans="1:11" s="178" customFormat="1" x14ac:dyDescent="0.3">
      <c r="A23" s="161"/>
      <c r="B23" s="161"/>
      <c r="C23" s="161"/>
      <c r="D23" s="161"/>
      <c r="E23" s="161"/>
      <c r="F23" s="161"/>
      <c r="G23" s="161"/>
      <c r="H23" s="161"/>
      <c r="I23" s="161"/>
      <c r="J23" s="161"/>
      <c r="K23" s="161"/>
    </row>
    <row r="26" spans="1:11" s="178" customFormat="1" x14ac:dyDescent="0.3">
      <c r="A26" s="161"/>
      <c r="B26" s="161"/>
      <c r="C26" s="161"/>
      <c r="D26" s="161"/>
      <c r="E26" s="161"/>
      <c r="F26" s="161"/>
      <c r="G26" s="161"/>
      <c r="H26" s="161"/>
      <c r="I26" s="161"/>
      <c r="J26" s="161"/>
      <c r="K26" s="161"/>
    </row>
  </sheetData>
  <pageMargins left="0.5" right="0.5" top="0.75" bottom="0.75" header="0.3" footer="0.3"/>
  <pageSetup paperSize="9" scale="71" orientation="landscape" r:id="rId1"/>
</worksheet>
</file>

<file path=xl/worksheets/sheet1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33CC"/>
    <pageSetUpPr fitToPage="1"/>
  </sheetPr>
  <dimension ref="A1:N66"/>
  <sheetViews>
    <sheetView showGridLines="0" workbookViewId="0"/>
  </sheetViews>
  <sheetFormatPr defaultColWidth="9.109375" defaultRowHeight="14.4" x14ac:dyDescent="0.3"/>
  <cols>
    <col min="1" max="1" width="15.109375" style="161" customWidth="1"/>
    <col min="2" max="2" width="31.88671875" style="161" customWidth="1"/>
    <col min="3" max="3" width="28.33203125" style="161" customWidth="1"/>
    <col min="4" max="4" width="12" style="161" customWidth="1"/>
    <col min="5" max="5" width="16.44140625" style="161" customWidth="1"/>
    <col min="6" max="6" width="13.6640625" style="161" customWidth="1"/>
    <col min="7" max="7" width="15.44140625" style="161" customWidth="1"/>
    <col min="8" max="8" width="16.44140625" style="161" customWidth="1"/>
    <col min="9" max="9" width="19" style="161" customWidth="1"/>
    <col min="10" max="10" width="17.44140625" style="161" customWidth="1"/>
    <col min="11" max="11" width="11.6640625" style="161" customWidth="1"/>
    <col min="12" max="12" width="10.6640625" style="161" customWidth="1"/>
    <col min="13" max="13" width="16.5546875" style="161" customWidth="1"/>
    <col min="14" max="14" width="11.6640625" style="161" customWidth="1"/>
    <col min="15" max="16384" width="9.109375" style="161"/>
  </cols>
  <sheetData>
    <row r="1" spans="1:14" x14ac:dyDescent="0.3">
      <c r="A1" s="566" t="s">
        <v>523</v>
      </c>
      <c r="B1" s="161" t="s">
        <v>524</v>
      </c>
      <c r="J1" s="566" t="s">
        <v>528</v>
      </c>
      <c r="K1" s="163">
        <v>81</v>
      </c>
      <c r="M1" s="566" t="s">
        <v>531</v>
      </c>
      <c r="N1" s="336">
        <f>E17+N22+I43+J54+I58</f>
        <v>442.09880799077695</v>
      </c>
    </row>
    <row r="2" spans="1:14" x14ac:dyDescent="0.3">
      <c r="A2" s="566" t="s">
        <v>532</v>
      </c>
      <c r="B2" s="161" t="s">
        <v>1418</v>
      </c>
      <c r="M2" s="566" t="s">
        <v>533</v>
      </c>
      <c r="N2" s="165">
        <v>1</v>
      </c>
    </row>
    <row r="3" spans="1:14" x14ac:dyDescent="0.3">
      <c r="A3" s="566" t="s">
        <v>534</v>
      </c>
      <c r="B3" s="161" t="s">
        <v>256</v>
      </c>
      <c r="J3" s="566" t="s">
        <v>536</v>
      </c>
    </row>
    <row r="4" spans="1:14" x14ac:dyDescent="0.3">
      <c r="A4" s="566" t="s">
        <v>537</v>
      </c>
      <c r="B4" s="166" t="s">
        <v>260</v>
      </c>
      <c r="J4" s="566" t="s">
        <v>538</v>
      </c>
      <c r="M4" s="566" t="s">
        <v>539</v>
      </c>
      <c r="N4" s="336">
        <f>N1*N2</f>
        <v>442.09880799077695</v>
      </c>
    </row>
    <row r="5" spans="1:14" x14ac:dyDescent="0.3">
      <c r="A5" s="566" t="s">
        <v>540</v>
      </c>
      <c r="B5" s="161" t="s">
        <v>36</v>
      </c>
      <c r="J5" s="566" t="s">
        <v>541</v>
      </c>
    </row>
    <row r="6" spans="1:14" x14ac:dyDescent="0.3">
      <c r="A6" s="566" t="s">
        <v>542</v>
      </c>
      <c r="B6" s="311" t="s">
        <v>1837</v>
      </c>
    </row>
    <row r="8" spans="1:14" x14ac:dyDescent="0.3">
      <c r="A8" s="567" t="s">
        <v>544</v>
      </c>
      <c r="B8" s="567" t="s">
        <v>545</v>
      </c>
      <c r="C8" s="567" t="s">
        <v>546</v>
      </c>
      <c r="D8" s="567" t="s">
        <v>28</v>
      </c>
      <c r="E8" s="567" t="s">
        <v>547</v>
      </c>
    </row>
    <row r="9" spans="1:14" x14ac:dyDescent="0.3">
      <c r="A9" s="168">
        <v>10</v>
      </c>
      <c r="B9" s="161" t="s">
        <v>1838</v>
      </c>
      <c r="C9" s="323">
        <f>'FR 07001'!N1</f>
        <v>375</v>
      </c>
      <c r="D9" s="183">
        <v>1</v>
      </c>
      <c r="E9" s="322">
        <f>C9*D9</f>
        <v>375</v>
      </c>
    </row>
    <row r="10" spans="1:14" x14ac:dyDescent="0.3">
      <c r="A10" s="168">
        <v>20</v>
      </c>
      <c r="B10" s="168" t="s">
        <v>1839</v>
      </c>
      <c r="C10" s="323">
        <f>'FR 07002'!N1</f>
        <v>5.5980793599999998</v>
      </c>
      <c r="D10" s="183">
        <v>1</v>
      </c>
      <c r="E10" s="322">
        <f t="shared" ref="E10:E16" si="0">C10*D10</f>
        <v>5.5980793599999998</v>
      </c>
    </row>
    <row r="11" spans="1:14" x14ac:dyDescent="0.3">
      <c r="A11" s="168">
        <v>30</v>
      </c>
      <c r="B11" s="168" t="s">
        <v>1840</v>
      </c>
      <c r="C11" s="323">
        <f>'FR 07003'!N1</f>
        <v>10.333309696000001</v>
      </c>
      <c r="D11" s="183">
        <v>1</v>
      </c>
      <c r="E11" s="322">
        <f t="shared" si="0"/>
        <v>10.333309696000001</v>
      </c>
    </row>
    <row r="12" spans="1:14" x14ac:dyDescent="0.3">
      <c r="A12" s="168">
        <v>40</v>
      </c>
      <c r="B12" s="168" t="s">
        <v>1841</v>
      </c>
      <c r="C12" s="323">
        <f>'FR 07004'!N1</f>
        <v>9.0197606400000012</v>
      </c>
      <c r="D12" s="183">
        <v>1</v>
      </c>
      <c r="E12" s="322">
        <f t="shared" si="0"/>
        <v>9.0197606400000012</v>
      </c>
    </row>
    <row r="13" spans="1:14" x14ac:dyDescent="0.3">
      <c r="A13" s="168">
        <v>50</v>
      </c>
      <c r="B13" s="168" t="s">
        <v>1842</v>
      </c>
      <c r="C13" s="323">
        <f>'FR 07005'!N1</f>
        <v>3.0007792640000002</v>
      </c>
      <c r="D13" s="183">
        <v>1</v>
      </c>
      <c r="E13" s="322">
        <f t="shared" si="0"/>
        <v>3.0007792640000002</v>
      </c>
    </row>
    <row r="14" spans="1:14" x14ac:dyDescent="0.3">
      <c r="A14" s="168">
        <v>60</v>
      </c>
      <c r="B14" s="168" t="s">
        <v>1843</v>
      </c>
      <c r="C14" s="323">
        <f>'FR 07006'!N1</f>
        <v>4.1724271903884649</v>
      </c>
      <c r="D14" s="183">
        <v>1</v>
      </c>
      <c r="E14" s="322">
        <f t="shared" si="0"/>
        <v>4.1724271903884649</v>
      </c>
    </row>
    <row r="15" spans="1:14" x14ac:dyDescent="0.3">
      <c r="A15" s="168">
        <v>70</v>
      </c>
      <c r="B15" s="168" t="s">
        <v>1844</v>
      </c>
      <c r="C15" s="323">
        <f>'FR 07007'!N1</f>
        <v>4.2884271903884645</v>
      </c>
      <c r="D15" s="183">
        <v>1</v>
      </c>
      <c r="E15" s="322">
        <f t="shared" si="0"/>
        <v>4.2884271903884645</v>
      </c>
    </row>
    <row r="16" spans="1:14" x14ac:dyDescent="0.3">
      <c r="A16" s="168">
        <v>80</v>
      </c>
      <c r="B16" s="168" t="s">
        <v>1845</v>
      </c>
      <c r="C16" s="323">
        <f>'FR 07008'!N1</f>
        <v>7.2501913166666663</v>
      </c>
      <c r="D16" s="183">
        <v>1</v>
      </c>
      <c r="E16" s="322">
        <f t="shared" si="0"/>
        <v>7.2501913166666663</v>
      </c>
    </row>
    <row r="17" spans="1:14" x14ac:dyDescent="0.3">
      <c r="D17" s="568" t="s">
        <v>547</v>
      </c>
      <c r="E17" s="617">
        <f>SUM(E9:E16)</f>
        <v>418.66297465744361</v>
      </c>
    </row>
    <row r="19" spans="1:14" x14ac:dyDescent="0.3">
      <c r="A19" s="567" t="s">
        <v>544</v>
      </c>
      <c r="B19" s="567" t="s">
        <v>581</v>
      </c>
      <c r="C19" s="567" t="s">
        <v>549</v>
      </c>
      <c r="D19" s="567" t="s">
        <v>550</v>
      </c>
      <c r="E19" s="567" t="s">
        <v>567</v>
      </c>
      <c r="F19" s="567" t="s">
        <v>568</v>
      </c>
      <c r="G19" s="567" t="s">
        <v>569</v>
      </c>
      <c r="H19" s="567" t="s">
        <v>570</v>
      </c>
      <c r="I19" s="567" t="s">
        <v>582</v>
      </c>
      <c r="J19" s="567" t="s">
        <v>583</v>
      </c>
      <c r="K19" s="567" t="s">
        <v>584</v>
      </c>
      <c r="L19" s="567" t="s">
        <v>585</v>
      </c>
      <c r="M19" s="567" t="s">
        <v>28</v>
      </c>
      <c r="N19" s="567" t="s">
        <v>547</v>
      </c>
    </row>
    <row r="20" spans="1:14" ht="30" customHeight="1" x14ac:dyDescent="0.3">
      <c r="A20" s="168">
        <v>10</v>
      </c>
      <c r="B20" s="190" t="s">
        <v>1329</v>
      </c>
      <c r="C20" s="494" t="s">
        <v>1846</v>
      </c>
      <c r="D20" s="323">
        <v>1.94</v>
      </c>
      <c r="E20" s="183">
        <v>6</v>
      </c>
      <c r="F20" s="168" t="s">
        <v>573</v>
      </c>
      <c r="G20" s="168"/>
      <c r="H20" s="219"/>
      <c r="I20" s="220"/>
      <c r="J20" s="221"/>
      <c r="K20" s="219"/>
      <c r="L20" s="219"/>
      <c r="M20" s="183">
        <v>1</v>
      </c>
      <c r="N20" s="322">
        <f>IF(J20="",D20*M20,D20*J20*K20*L20*M20)</f>
        <v>1.94</v>
      </c>
    </row>
    <row r="21" spans="1:14" ht="16.2" customHeight="1" x14ac:dyDescent="0.3">
      <c r="A21" s="168">
        <v>20</v>
      </c>
      <c r="B21" s="190" t="s">
        <v>625</v>
      </c>
      <c r="C21" s="494" t="s">
        <v>1731</v>
      </c>
      <c r="D21" s="323">
        <v>10</v>
      </c>
      <c r="E21" s="168"/>
      <c r="F21" s="168" t="s">
        <v>627</v>
      </c>
      <c r="G21" s="168"/>
      <c r="H21" s="219"/>
      <c r="I21" s="220"/>
      <c r="J21" s="221"/>
      <c r="K21" s="219"/>
      <c r="L21" s="219"/>
      <c r="M21" s="183">
        <v>0.01</v>
      </c>
      <c r="N21" s="322">
        <f>IF(J21="",D21*M21,D21*J21*K21*L21*M21)</f>
        <v>0.1</v>
      </c>
    </row>
    <row r="22" spans="1:14" s="311" customFormat="1" ht="14.4" customHeight="1" x14ac:dyDescent="0.3">
      <c r="A22" s="432"/>
      <c r="B22" s="432"/>
      <c r="C22" s="432"/>
      <c r="D22" s="432"/>
      <c r="E22" s="432"/>
      <c r="F22" s="432"/>
      <c r="G22" s="432"/>
      <c r="H22" s="432"/>
      <c r="I22" s="432"/>
      <c r="J22" s="432"/>
      <c r="K22" s="432"/>
      <c r="L22" s="432"/>
      <c r="M22" s="614" t="s">
        <v>547</v>
      </c>
      <c r="N22" s="628">
        <f>SUM(N20:N21)</f>
        <v>2.04</v>
      </c>
    </row>
    <row r="24" spans="1:14" x14ac:dyDescent="0.3">
      <c r="A24" s="567" t="s">
        <v>544</v>
      </c>
      <c r="B24" s="567" t="s">
        <v>548</v>
      </c>
      <c r="C24" s="567" t="s">
        <v>549</v>
      </c>
      <c r="D24" s="567" t="s">
        <v>550</v>
      </c>
      <c r="E24" s="567" t="s">
        <v>551</v>
      </c>
      <c r="F24" s="567" t="s">
        <v>28</v>
      </c>
      <c r="G24" s="567" t="s">
        <v>552</v>
      </c>
      <c r="H24" s="567" t="s">
        <v>553</v>
      </c>
      <c r="I24" s="567" t="s">
        <v>547</v>
      </c>
      <c r="J24" s="178"/>
      <c r="K24" s="178"/>
      <c r="L24" s="178"/>
      <c r="M24" s="178"/>
      <c r="N24" s="178"/>
    </row>
    <row r="25" spans="1:14" x14ac:dyDescent="0.3">
      <c r="A25" s="168">
        <v>10</v>
      </c>
      <c r="B25" s="180" t="s">
        <v>650</v>
      </c>
      <c r="C25" s="184" t="s">
        <v>1732</v>
      </c>
      <c r="D25" s="323">
        <v>0.15</v>
      </c>
      <c r="E25" s="168" t="s">
        <v>593</v>
      </c>
      <c r="F25" s="168">
        <v>26</v>
      </c>
      <c r="G25" s="168"/>
      <c r="H25" s="168">
        <v>1</v>
      </c>
      <c r="I25" s="323">
        <f>D25*F25*H25</f>
        <v>3.9</v>
      </c>
    </row>
    <row r="26" spans="1:14" x14ac:dyDescent="0.3">
      <c r="A26" s="168">
        <v>20</v>
      </c>
      <c r="B26" s="180" t="s">
        <v>653</v>
      </c>
      <c r="C26" s="184" t="s">
        <v>1731</v>
      </c>
      <c r="D26" s="323">
        <v>5.25</v>
      </c>
      <c r="E26" s="168" t="s">
        <v>627</v>
      </c>
      <c r="F26" s="168">
        <v>0.01</v>
      </c>
      <c r="G26" s="168"/>
      <c r="H26" s="168">
        <v>1</v>
      </c>
      <c r="I26" s="323">
        <f>D26*F26*H26</f>
        <v>5.2499999999999998E-2</v>
      </c>
    </row>
    <row r="27" spans="1:14" ht="28.8" x14ac:dyDescent="0.3">
      <c r="A27" s="168">
        <v>30</v>
      </c>
      <c r="B27" s="180" t="s">
        <v>557</v>
      </c>
      <c r="C27" s="193" t="s">
        <v>1847</v>
      </c>
      <c r="D27" s="323">
        <v>0.06</v>
      </c>
      <c r="E27" s="168" t="s">
        <v>556</v>
      </c>
      <c r="F27" s="168">
        <v>2</v>
      </c>
      <c r="G27" s="168"/>
      <c r="H27" s="168">
        <v>1</v>
      </c>
      <c r="I27" s="323">
        <f>D27*F27*H27</f>
        <v>0.12</v>
      </c>
    </row>
    <row r="28" spans="1:14" x14ac:dyDescent="0.3">
      <c r="A28" s="168">
        <v>40</v>
      </c>
      <c r="B28" s="180" t="s">
        <v>1735</v>
      </c>
      <c r="C28" s="193" t="s">
        <v>1848</v>
      </c>
      <c r="D28" s="323">
        <v>0.5</v>
      </c>
      <c r="E28" s="168" t="s">
        <v>556</v>
      </c>
      <c r="F28" s="168">
        <v>8</v>
      </c>
      <c r="G28" s="184"/>
      <c r="H28" s="168">
        <v>1</v>
      </c>
      <c r="I28" s="323">
        <f t="shared" ref="I28:I42" si="1">D28*F28*H28</f>
        <v>4</v>
      </c>
    </row>
    <row r="29" spans="1:14" ht="28.8" x14ac:dyDescent="0.3">
      <c r="A29" s="168">
        <v>50</v>
      </c>
      <c r="B29" s="180" t="s">
        <v>557</v>
      </c>
      <c r="C29" s="193" t="s">
        <v>1849</v>
      </c>
      <c r="D29" s="323">
        <v>0.06</v>
      </c>
      <c r="E29" s="168" t="s">
        <v>556</v>
      </c>
      <c r="F29" s="168">
        <v>2</v>
      </c>
      <c r="G29" s="168"/>
      <c r="H29" s="168">
        <v>1</v>
      </c>
      <c r="I29" s="323">
        <f t="shared" si="1"/>
        <v>0.12</v>
      </c>
    </row>
    <row r="30" spans="1:14" x14ac:dyDescent="0.3">
      <c r="A30" s="168">
        <v>60</v>
      </c>
      <c r="B30" s="180" t="s">
        <v>1850</v>
      </c>
      <c r="C30" s="193" t="s">
        <v>1851</v>
      </c>
      <c r="D30" s="323">
        <v>0.75</v>
      </c>
      <c r="E30" s="168" t="s">
        <v>556</v>
      </c>
      <c r="F30" s="168">
        <v>2</v>
      </c>
      <c r="G30" s="184"/>
      <c r="H30" s="168">
        <v>1</v>
      </c>
      <c r="I30" s="323">
        <f t="shared" si="1"/>
        <v>1.5</v>
      </c>
    </row>
    <row r="31" spans="1:14" x14ac:dyDescent="0.3">
      <c r="A31" s="168">
        <v>70</v>
      </c>
      <c r="B31" s="180" t="s">
        <v>1852</v>
      </c>
      <c r="C31" s="193" t="s">
        <v>1853</v>
      </c>
      <c r="D31" s="323">
        <v>1.5</v>
      </c>
      <c r="E31" s="168" t="s">
        <v>556</v>
      </c>
      <c r="F31" s="168">
        <v>3</v>
      </c>
      <c r="G31" s="168"/>
      <c r="H31" s="168">
        <v>1</v>
      </c>
      <c r="I31" s="323">
        <f t="shared" si="1"/>
        <v>4.5</v>
      </c>
    </row>
    <row r="32" spans="1:14" x14ac:dyDescent="0.3">
      <c r="A32" s="168">
        <v>80</v>
      </c>
      <c r="B32" s="180" t="s">
        <v>1854</v>
      </c>
      <c r="C32" s="193" t="s">
        <v>1853</v>
      </c>
      <c r="D32" s="323">
        <v>0.25</v>
      </c>
      <c r="E32" s="168" t="s">
        <v>556</v>
      </c>
      <c r="F32" s="168">
        <v>3</v>
      </c>
      <c r="G32" s="168"/>
      <c r="H32" s="168">
        <v>1</v>
      </c>
      <c r="I32" s="323">
        <f t="shared" si="1"/>
        <v>0.75</v>
      </c>
    </row>
    <row r="33" spans="1:14" x14ac:dyDescent="0.3">
      <c r="A33" s="168">
        <v>90</v>
      </c>
      <c r="B33" s="180" t="s">
        <v>1855</v>
      </c>
      <c r="C33" s="193" t="s">
        <v>1856</v>
      </c>
      <c r="D33" s="323">
        <v>0.38</v>
      </c>
      <c r="E33" s="168" t="s">
        <v>556</v>
      </c>
      <c r="F33" s="168">
        <v>1</v>
      </c>
      <c r="G33" s="168"/>
      <c r="H33" s="168">
        <v>1</v>
      </c>
      <c r="I33" s="323">
        <f t="shared" si="1"/>
        <v>0.38</v>
      </c>
    </row>
    <row r="34" spans="1:14" x14ac:dyDescent="0.3">
      <c r="A34" s="168">
        <v>100</v>
      </c>
      <c r="B34" s="180" t="s">
        <v>1735</v>
      </c>
      <c r="C34" s="193" t="s">
        <v>1857</v>
      </c>
      <c r="D34" s="323">
        <v>0.5</v>
      </c>
      <c r="E34" s="168" t="s">
        <v>556</v>
      </c>
      <c r="F34" s="168">
        <v>2</v>
      </c>
      <c r="G34" s="184"/>
      <c r="H34" s="168">
        <v>1</v>
      </c>
      <c r="I34" s="323">
        <f t="shared" si="1"/>
        <v>1</v>
      </c>
    </row>
    <row r="35" spans="1:14" s="178" customFormat="1" x14ac:dyDescent="0.3">
      <c r="A35" s="168">
        <v>110</v>
      </c>
      <c r="B35" s="180" t="s">
        <v>1745</v>
      </c>
      <c r="C35" s="193" t="s">
        <v>1858</v>
      </c>
      <c r="D35" s="323">
        <v>0.13</v>
      </c>
      <c r="E35" s="168" t="s">
        <v>556</v>
      </c>
      <c r="F35" s="168">
        <v>1</v>
      </c>
      <c r="G35" s="168"/>
      <c r="H35" s="168">
        <v>1</v>
      </c>
      <c r="I35" s="323">
        <f t="shared" si="1"/>
        <v>0.13</v>
      </c>
      <c r="J35" s="161"/>
      <c r="K35" s="161"/>
      <c r="L35" s="161"/>
      <c r="M35" s="161"/>
      <c r="N35" s="161"/>
    </row>
    <row r="36" spans="1:14" s="178" customFormat="1" x14ac:dyDescent="0.3">
      <c r="A36" s="168">
        <v>120</v>
      </c>
      <c r="B36" s="180" t="s">
        <v>1859</v>
      </c>
      <c r="C36" s="193" t="s">
        <v>1860</v>
      </c>
      <c r="D36" s="323">
        <v>0.25</v>
      </c>
      <c r="E36" s="168" t="s">
        <v>556</v>
      </c>
      <c r="F36" s="168">
        <v>1</v>
      </c>
      <c r="G36" s="168"/>
      <c r="H36" s="168">
        <v>1</v>
      </c>
      <c r="I36" s="323">
        <f t="shared" si="1"/>
        <v>0.25</v>
      </c>
      <c r="J36" s="161"/>
      <c r="K36" s="161"/>
      <c r="L36" s="161"/>
      <c r="M36" s="161"/>
      <c r="N36" s="161"/>
    </row>
    <row r="37" spans="1:14" x14ac:dyDescent="0.3">
      <c r="A37" s="168">
        <v>130</v>
      </c>
      <c r="B37" s="180" t="s">
        <v>1562</v>
      </c>
      <c r="C37" s="193" t="s">
        <v>1861</v>
      </c>
      <c r="D37" s="323">
        <v>1</v>
      </c>
      <c r="E37" s="168" t="s">
        <v>556</v>
      </c>
      <c r="F37" s="168">
        <v>1</v>
      </c>
      <c r="G37" s="168"/>
      <c r="H37" s="168">
        <v>1</v>
      </c>
      <c r="I37" s="323">
        <f t="shared" si="1"/>
        <v>1</v>
      </c>
    </row>
    <row r="38" spans="1:14" s="178" customFormat="1" ht="28.8" x14ac:dyDescent="0.3">
      <c r="A38" s="168">
        <v>140</v>
      </c>
      <c r="B38" s="180" t="s">
        <v>557</v>
      </c>
      <c r="C38" s="193" t="s">
        <v>1862</v>
      </c>
      <c r="D38" s="323">
        <v>0.06</v>
      </c>
      <c r="E38" s="168" t="s">
        <v>556</v>
      </c>
      <c r="F38" s="168">
        <v>1</v>
      </c>
      <c r="G38" s="168"/>
      <c r="H38" s="168">
        <v>1</v>
      </c>
      <c r="I38" s="323">
        <f t="shared" si="1"/>
        <v>0.06</v>
      </c>
      <c r="J38" s="161"/>
      <c r="K38" s="161"/>
      <c r="L38" s="161"/>
      <c r="M38" s="161"/>
      <c r="N38" s="161"/>
    </row>
    <row r="39" spans="1:14" s="178" customFormat="1" x14ac:dyDescent="0.3">
      <c r="A39" s="168">
        <v>150</v>
      </c>
      <c r="B39" s="180" t="s">
        <v>1735</v>
      </c>
      <c r="C39" s="193" t="s">
        <v>1863</v>
      </c>
      <c r="D39" s="323">
        <v>0.5</v>
      </c>
      <c r="E39" s="168" t="s">
        <v>556</v>
      </c>
      <c r="F39" s="168">
        <v>1</v>
      </c>
      <c r="G39" s="184"/>
      <c r="H39" s="168">
        <v>1</v>
      </c>
      <c r="I39" s="323">
        <f t="shared" si="1"/>
        <v>0.5</v>
      </c>
      <c r="J39" s="161"/>
      <c r="K39" s="161"/>
      <c r="L39" s="161"/>
      <c r="M39" s="161"/>
      <c r="N39" s="161"/>
    </row>
    <row r="40" spans="1:14" s="178" customFormat="1" x14ac:dyDescent="0.3">
      <c r="A40" s="168">
        <v>160</v>
      </c>
      <c r="B40" s="180" t="s">
        <v>1864</v>
      </c>
      <c r="C40" s="193" t="s">
        <v>1865</v>
      </c>
      <c r="D40" s="323">
        <v>0.25</v>
      </c>
      <c r="E40" s="168" t="s">
        <v>556</v>
      </c>
      <c r="F40" s="168">
        <v>1</v>
      </c>
      <c r="G40" s="168"/>
      <c r="H40" s="168">
        <v>1</v>
      </c>
      <c r="I40" s="323">
        <f t="shared" si="1"/>
        <v>0.25</v>
      </c>
      <c r="J40" s="161"/>
      <c r="K40" s="161"/>
      <c r="L40" s="161"/>
      <c r="M40" s="161"/>
      <c r="N40" s="161"/>
    </row>
    <row r="41" spans="1:14" s="178" customFormat="1" ht="28.8" x14ac:dyDescent="0.3">
      <c r="A41" s="168">
        <v>170</v>
      </c>
      <c r="B41" s="180" t="s">
        <v>1745</v>
      </c>
      <c r="C41" s="193" t="s">
        <v>1866</v>
      </c>
      <c r="D41" s="323">
        <v>0.13</v>
      </c>
      <c r="E41" s="168" t="s">
        <v>556</v>
      </c>
      <c r="F41" s="168">
        <v>1</v>
      </c>
      <c r="G41" s="168"/>
      <c r="H41" s="168">
        <v>1</v>
      </c>
      <c r="I41" s="323">
        <f t="shared" si="1"/>
        <v>0.13</v>
      </c>
      <c r="J41" s="161"/>
      <c r="K41" s="161"/>
      <c r="L41" s="161"/>
      <c r="M41" s="161"/>
      <c r="N41" s="161"/>
    </row>
    <row r="42" spans="1:14" s="178" customFormat="1" x14ac:dyDescent="0.3">
      <c r="A42" s="168">
        <v>180</v>
      </c>
      <c r="B42" s="180" t="s">
        <v>1735</v>
      </c>
      <c r="C42" s="193" t="s">
        <v>1863</v>
      </c>
      <c r="D42" s="323">
        <v>0.5</v>
      </c>
      <c r="E42" s="168" t="s">
        <v>556</v>
      </c>
      <c r="F42" s="168">
        <v>1</v>
      </c>
      <c r="G42" s="184"/>
      <c r="H42" s="168">
        <v>1</v>
      </c>
      <c r="I42" s="323">
        <f t="shared" si="1"/>
        <v>0.5</v>
      </c>
      <c r="J42" s="161"/>
      <c r="K42" s="161"/>
      <c r="L42" s="161"/>
      <c r="M42" s="161"/>
      <c r="N42" s="161"/>
    </row>
    <row r="43" spans="1:14" x14ac:dyDescent="0.3">
      <c r="A43" s="178"/>
      <c r="B43" s="178"/>
      <c r="C43" s="178"/>
      <c r="D43" s="178"/>
      <c r="E43" s="178"/>
      <c r="F43" s="178"/>
      <c r="G43" s="178"/>
      <c r="H43" s="568" t="s">
        <v>547</v>
      </c>
      <c r="I43" s="617">
        <f>SUM(I25:I42)</f>
        <v>19.142499999999995</v>
      </c>
      <c r="K43" s="178"/>
      <c r="L43" s="178"/>
      <c r="M43" s="178"/>
      <c r="N43" s="178"/>
    </row>
    <row r="45" spans="1:14" x14ac:dyDescent="0.3">
      <c r="A45" s="567" t="s">
        <v>544</v>
      </c>
      <c r="B45" s="567" t="s">
        <v>566</v>
      </c>
      <c r="C45" s="567" t="s">
        <v>549</v>
      </c>
      <c r="D45" s="567" t="s">
        <v>550</v>
      </c>
      <c r="E45" s="567" t="s">
        <v>567</v>
      </c>
      <c r="F45" s="567" t="s">
        <v>568</v>
      </c>
      <c r="G45" s="567" t="s">
        <v>569</v>
      </c>
      <c r="H45" s="567" t="s">
        <v>570</v>
      </c>
      <c r="I45" s="567" t="s">
        <v>28</v>
      </c>
      <c r="J45" s="567" t="s">
        <v>547</v>
      </c>
      <c r="K45" s="178"/>
      <c r="L45" s="178"/>
      <c r="M45" s="178"/>
      <c r="N45" s="178"/>
    </row>
    <row r="46" spans="1:14" ht="28.8" x14ac:dyDescent="0.3">
      <c r="A46" s="183">
        <v>10</v>
      </c>
      <c r="B46" s="190" t="s">
        <v>684</v>
      </c>
      <c r="C46" s="184" t="s">
        <v>1867</v>
      </c>
      <c r="D46" s="323">
        <v>0.16</v>
      </c>
      <c r="E46" s="168">
        <v>8</v>
      </c>
      <c r="F46" s="245" t="s">
        <v>573</v>
      </c>
      <c r="G46" s="168">
        <v>40</v>
      </c>
      <c r="H46" s="171" t="s">
        <v>573</v>
      </c>
      <c r="I46" s="327">
        <v>2</v>
      </c>
      <c r="J46" s="323">
        <f>D46*I46</f>
        <v>0.32</v>
      </c>
    </row>
    <row r="47" spans="1:14" ht="28.8" x14ac:dyDescent="0.3">
      <c r="A47" s="183">
        <v>20</v>
      </c>
      <c r="B47" s="190" t="s">
        <v>684</v>
      </c>
      <c r="C47" s="184" t="s">
        <v>1868</v>
      </c>
      <c r="D47" s="323">
        <v>0.05</v>
      </c>
      <c r="E47" s="168">
        <v>6</v>
      </c>
      <c r="F47" s="245" t="s">
        <v>573</v>
      </c>
      <c r="G47" s="168">
        <v>25</v>
      </c>
      <c r="H47" s="171" t="s">
        <v>573</v>
      </c>
      <c r="I47" s="327">
        <v>1</v>
      </c>
      <c r="J47" s="323">
        <f t="shared" ref="J47:J53" si="2">D47*I47</f>
        <v>0.05</v>
      </c>
    </row>
    <row r="48" spans="1:14" ht="28.8" x14ac:dyDescent="0.3">
      <c r="A48" s="183">
        <v>30</v>
      </c>
      <c r="B48" s="190" t="s">
        <v>684</v>
      </c>
      <c r="C48" s="184" t="s">
        <v>1869</v>
      </c>
      <c r="D48" s="323">
        <v>0.04</v>
      </c>
      <c r="E48" s="168">
        <v>5</v>
      </c>
      <c r="F48" s="245" t="s">
        <v>573</v>
      </c>
      <c r="G48" s="168">
        <v>25</v>
      </c>
      <c r="H48" s="171" t="s">
        <v>573</v>
      </c>
      <c r="I48" s="327">
        <v>2</v>
      </c>
      <c r="J48" s="323">
        <f t="shared" si="2"/>
        <v>0.08</v>
      </c>
    </row>
    <row r="49" spans="1:14" ht="28.8" x14ac:dyDescent="0.3">
      <c r="A49" s="183">
        <v>40</v>
      </c>
      <c r="B49" s="190" t="s">
        <v>684</v>
      </c>
      <c r="C49" s="184" t="s">
        <v>1870</v>
      </c>
      <c r="D49" s="323">
        <v>0.04</v>
      </c>
      <c r="E49" s="168">
        <v>6</v>
      </c>
      <c r="F49" s="245" t="s">
        <v>573</v>
      </c>
      <c r="G49" s="168">
        <v>16</v>
      </c>
      <c r="H49" s="171" t="s">
        <v>573</v>
      </c>
      <c r="I49" s="327">
        <v>1</v>
      </c>
      <c r="J49" s="323">
        <f t="shared" si="2"/>
        <v>0.04</v>
      </c>
    </row>
    <row r="50" spans="1:14" s="178" customFormat="1" ht="28.8" x14ac:dyDescent="0.3">
      <c r="A50" s="183">
        <v>50</v>
      </c>
      <c r="B50" s="190" t="s">
        <v>684</v>
      </c>
      <c r="C50" s="184" t="s">
        <v>1871</v>
      </c>
      <c r="D50" s="323">
        <v>0.02</v>
      </c>
      <c r="E50" s="168">
        <v>4</v>
      </c>
      <c r="F50" s="245" t="s">
        <v>573</v>
      </c>
      <c r="G50" s="168">
        <v>12</v>
      </c>
      <c r="H50" s="171" t="s">
        <v>573</v>
      </c>
      <c r="I50" s="327">
        <v>8</v>
      </c>
      <c r="J50" s="323">
        <f t="shared" si="2"/>
        <v>0.16</v>
      </c>
      <c r="K50" s="161"/>
      <c r="L50" s="161"/>
      <c r="M50" s="161"/>
      <c r="N50" s="161"/>
    </row>
    <row r="51" spans="1:14" ht="28.8" x14ac:dyDescent="0.3">
      <c r="A51" s="183">
        <v>60</v>
      </c>
      <c r="B51" s="629" t="s">
        <v>574</v>
      </c>
      <c r="C51" s="184" t="s">
        <v>1867</v>
      </c>
      <c r="D51" s="323">
        <v>0.01</v>
      </c>
      <c r="E51" s="168">
        <v>8</v>
      </c>
      <c r="F51" s="245" t="s">
        <v>573</v>
      </c>
      <c r="G51" s="168"/>
      <c r="H51" s="171"/>
      <c r="I51" s="327">
        <v>5</v>
      </c>
      <c r="J51" s="323">
        <f t="shared" si="2"/>
        <v>0.05</v>
      </c>
    </row>
    <row r="52" spans="1:14" s="178" customFormat="1" ht="28.8" x14ac:dyDescent="0.3">
      <c r="A52" s="183">
        <v>70</v>
      </c>
      <c r="B52" s="629" t="s">
        <v>618</v>
      </c>
      <c r="C52" s="184" t="s">
        <v>1867</v>
      </c>
      <c r="D52" s="323">
        <v>0.04</v>
      </c>
      <c r="E52" s="168">
        <v>8</v>
      </c>
      <c r="F52" s="245" t="s">
        <v>573</v>
      </c>
      <c r="G52" s="168"/>
      <c r="H52" s="171"/>
      <c r="I52" s="327">
        <v>4</v>
      </c>
      <c r="J52" s="323">
        <f t="shared" si="2"/>
        <v>0.16</v>
      </c>
      <c r="K52" s="161"/>
      <c r="L52" s="161"/>
      <c r="M52" s="161"/>
      <c r="N52" s="161"/>
    </row>
    <row r="53" spans="1:14" ht="31.95" customHeight="1" x14ac:dyDescent="0.3">
      <c r="A53" s="183">
        <v>80</v>
      </c>
      <c r="B53" s="629" t="s">
        <v>618</v>
      </c>
      <c r="C53" s="184" t="s">
        <v>1868</v>
      </c>
      <c r="D53" s="323">
        <v>0.03</v>
      </c>
      <c r="E53" s="168">
        <v>6</v>
      </c>
      <c r="F53" s="245" t="s">
        <v>573</v>
      </c>
      <c r="G53" s="168"/>
      <c r="H53" s="171"/>
      <c r="I53" s="327">
        <v>2</v>
      </c>
      <c r="J53" s="323">
        <f t="shared" si="2"/>
        <v>0.06</v>
      </c>
    </row>
    <row r="54" spans="1:14" ht="14.4" customHeight="1" x14ac:dyDescent="0.3">
      <c r="A54" s="178"/>
      <c r="B54" s="178"/>
      <c r="C54" s="178"/>
      <c r="D54" s="178"/>
      <c r="E54" s="178"/>
      <c r="F54" s="178"/>
      <c r="G54" s="178"/>
      <c r="H54" s="178"/>
      <c r="I54" s="614" t="s">
        <v>547</v>
      </c>
      <c r="J54" s="617">
        <f>SUM(J46:J53)</f>
        <v>0.92000000000000015</v>
      </c>
      <c r="K54" s="178"/>
      <c r="L54" s="178"/>
      <c r="M54" s="178"/>
      <c r="N54" s="178"/>
    </row>
    <row r="55" spans="1:14" ht="25.2" customHeight="1" x14ac:dyDescent="0.3">
      <c r="H55" s="326"/>
      <c r="I55" s="325"/>
    </row>
    <row r="56" spans="1:14" s="311" customFormat="1" ht="13.8" customHeight="1" x14ac:dyDescent="0.3">
      <c r="A56" s="630" t="s">
        <v>544</v>
      </c>
      <c r="B56" s="630" t="s">
        <v>6</v>
      </c>
      <c r="C56" s="630" t="s">
        <v>549</v>
      </c>
      <c r="D56" s="630" t="s">
        <v>550</v>
      </c>
      <c r="E56" s="630" t="s">
        <v>551</v>
      </c>
      <c r="F56" s="630" t="s">
        <v>28</v>
      </c>
      <c r="G56" s="630" t="s">
        <v>691</v>
      </c>
      <c r="H56" s="630" t="s">
        <v>736</v>
      </c>
      <c r="I56" s="630" t="s">
        <v>547</v>
      </c>
      <c r="J56" s="432"/>
      <c r="K56" s="432"/>
      <c r="L56" s="432"/>
      <c r="M56" s="432"/>
      <c r="N56" s="432"/>
    </row>
    <row r="57" spans="1:14" x14ac:dyDescent="0.3">
      <c r="A57" s="168">
        <v>10</v>
      </c>
      <c r="B57" s="184" t="s">
        <v>693</v>
      </c>
      <c r="C57" s="184" t="s">
        <v>1732</v>
      </c>
      <c r="D57" s="323">
        <v>500</v>
      </c>
      <c r="E57" s="168" t="s">
        <v>695</v>
      </c>
      <c r="F57" s="168">
        <v>8</v>
      </c>
      <c r="G57" s="168">
        <v>3000</v>
      </c>
      <c r="H57" s="168">
        <v>1</v>
      </c>
      <c r="I57" s="322">
        <f>D57*F57/G57*H57</f>
        <v>1.3333333333333333</v>
      </c>
    </row>
    <row r="58" spans="1:14" x14ac:dyDescent="0.3">
      <c r="A58" s="178"/>
      <c r="B58" s="178"/>
      <c r="C58" s="178"/>
      <c r="D58" s="178"/>
      <c r="E58" s="178"/>
      <c r="F58" s="178"/>
      <c r="G58" s="178"/>
      <c r="H58" s="568" t="s">
        <v>547</v>
      </c>
      <c r="I58" s="617">
        <f>SUM(I57:I57)</f>
        <v>1.3333333333333333</v>
      </c>
    </row>
    <row r="59" spans="1:14" x14ac:dyDescent="0.3">
      <c r="J59" s="178"/>
      <c r="K59" s="178"/>
      <c r="L59" s="178"/>
      <c r="M59" s="178"/>
      <c r="N59" s="178"/>
    </row>
    <row r="61" spans="1:14" s="178" customFormat="1" x14ac:dyDescent="0.3">
      <c r="A61" s="161"/>
      <c r="B61" s="161"/>
      <c r="C61" s="161"/>
      <c r="D61" s="161"/>
      <c r="E61" s="161"/>
      <c r="F61" s="161"/>
      <c r="G61" s="161"/>
      <c r="H61" s="161"/>
      <c r="I61" s="161"/>
      <c r="J61" s="161"/>
      <c r="K61" s="161"/>
      <c r="L61" s="161"/>
      <c r="M61" s="161"/>
      <c r="N61" s="161"/>
    </row>
    <row r="63" spans="1:14" s="178" customFormat="1" x14ac:dyDescent="0.3">
      <c r="A63" s="161"/>
      <c r="B63" s="161"/>
      <c r="C63" s="161"/>
      <c r="D63" s="161"/>
      <c r="E63" s="161"/>
      <c r="F63" s="161"/>
      <c r="G63" s="161"/>
      <c r="H63" s="161"/>
      <c r="I63" s="161"/>
      <c r="J63" s="161"/>
      <c r="K63" s="161"/>
      <c r="L63" s="161"/>
      <c r="M63" s="161"/>
      <c r="N63" s="161"/>
    </row>
    <row r="66" spans="1:14" s="178" customFormat="1" x14ac:dyDescent="0.3">
      <c r="A66" s="161"/>
      <c r="B66" s="161"/>
      <c r="C66" s="161"/>
      <c r="D66" s="161"/>
      <c r="E66" s="161"/>
      <c r="F66" s="161"/>
      <c r="G66" s="161"/>
      <c r="H66" s="161"/>
      <c r="I66" s="161"/>
      <c r="J66" s="161"/>
      <c r="K66" s="161"/>
      <c r="L66" s="161"/>
      <c r="M66" s="161"/>
      <c r="N66" s="161"/>
    </row>
  </sheetData>
  <pageMargins left="0.7" right="0.7" top="0.75" bottom="0.75" header="0.3" footer="0.3"/>
  <pageSetup paperSize="9" scale="33" orientation="landscape" r:id="rId1"/>
  <rowBreaks count="1" manualBreakCount="1">
    <brk id="43" max="16383" man="1"/>
  </rowBreaks>
  <drawing r:id="rId2"/>
</worksheet>
</file>

<file path=xl/worksheets/sheet1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4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2.33203125" style="161" customWidth="1"/>
    <col min="3" max="3" width="40.33203125" style="161" customWidth="1"/>
    <col min="4" max="4" width="13.5546875" style="161" bestFit="1" customWidth="1"/>
    <col min="5" max="5" width="14.109375" style="161" bestFit="1" customWidth="1"/>
    <col min="6" max="6" width="7.88671875" style="161" customWidth="1"/>
    <col min="7" max="7" width="8.44140625" style="161" customWidth="1"/>
    <col min="8" max="8" width="8.664062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8867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</f>
        <v>375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256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1838</v>
      </c>
      <c r="D4" s="570" t="s">
        <v>541</v>
      </c>
      <c r="J4" s="570" t="s">
        <v>538</v>
      </c>
      <c r="M4" s="570" t="s">
        <v>539</v>
      </c>
      <c r="N4" s="336">
        <f>N1*N2</f>
        <v>375</v>
      </c>
    </row>
    <row r="5" spans="1:14" x14ac:dyDescent="0.3">
      <c r="A5" s="570" t="s">
        <v>537</v>
      </c>
      <c r="B5" s="199" t="s">
        <v>262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1872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248" customFormat="1" ht="43.2" x14ac:dyDescent="0.3">
      <c r="A10" s="184">
        <v>10</v>
      </c>
      <c r="B10" s="190" t="s">
        <v>1873</v>
      </c>
      <c r="C10" s="184" t="s">
        <v>1874</v>
      </c>
      <c r="D10" s="362">
        <v>375</v>
      </c>
      <c r="E10" s="184"/>
      <c r="F10" s="184"/>
      <c r="G10" s="184"/>
      <c r="H10" s="268"/>
      <c r="I10" s="269"/>
      <c r="J10" s="270"/>
      <c r="K10" s="268"/>
      <c r="L10" s="268"/>
      <c r="M10" s="631">
        <v>1</v>
      </c>
      <c r="N10" s="363">
        <f>IF(J10="",D10*M10,D10*J10*K10*L10*M10)</f>
        <v>375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620" t="s">
        <v>547</v>
      </c>
      <c r="N11" s="636">
        <f>SUM(N10:N10)</f>
        <v>375</v>
      </c>
    </row>
    <row r="12" spans="1:14" x14ac:dyDescent="0.3">
      <c r="H12" s="326"/>
      <c r="I12" s="325"/>
    </row>
    <row r="13" spans="1:14" x14ac:dyDescent="0.3">
      <c r="L13" s="178"/>
      <c r="M13" s="178"/>
      <c r="N13" s="178"/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20" spans="1:14" s="178" customFormat="1" x14ac:dyDescent="0.3">
      <c r="A20" s="161"/>
      <c r="B20" s="161"/>
      <c r="C20" s="161"/>
      <c r="D20" s="161"/>
      <c r="E20" s="161"/>
      <c r="F20" s="161"/>
      <c r="G20" s="161"/>
      <c r="H20" s="161"/>
      <c r="I20" s="161"/>
      <c r="J20" s="161"/>
      <c r="K20" s="161"/>
      <c r="L20" s="161"/>
      <c r="M20" s="161"/>
      <c r="N20" s="161"/>
    </row>
    <row r="22" spans="1:14" x14ac:dyDescent="0.3">
      <c r="L22" s="178"/>
      <c r="M22" s="178"/>
      <c r="N22" s="178"/>
    </row>
    <row r="24" spans="1:14" x14ac:dyDescent="0.3">
      <c r="L24" s="178"/>
      <c r="M24" s="178"/>
      <c r="N24" s="178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  <c r="L31" s="161"/>
      <c r="M31" s="161"/>
      <c r="N31" s="161"/>
    </row>
    <row r="33" spans="1:14" x14ac:dyDescent="0.3">
      <c r="L33" s="178"/>
      <c r="M33" s="178"/>
      <c r="N33" s="178"/>
    </row>
    <row r="35" spans="1:14" x14ac:dyDescent="0.3">
      <c r="L35" s="178"/>
      <c r="M35" s="178"/>
      <c r="N35" s="178"/>
    </row>
    <row r="38" spans="1:14" x14ac:dyDescent="0.3">
      <c r="L38" s="178"/>
      <c r="M38" s="178"/>
      <c r="N38" s="178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2" spans="1:14" s="178" customFormat="1" x14ac:dyDescent="0.3">
      <c r="A42" s="161"/>
      <c r="B42" s="161"/>
      <c r="C42" s="161"/>
      <c r="D42" s="161"/>
      <c r="E42" s="161"/>
      <c r="F42" s="161"/>
      <c r="G42" s="161"/>
      <c r="H42" s="161"/>
      <c r="I42" s="161"/>
      <c r="J42" s="161"/>
      <c r="K42" s="161"/>
      <c r="L42" s="161"/>
      <c r="M42" s="161"/>
      <c r="N42" s="161"/>
    </row>
    <row r="45" spans="1:14" s="178" customFormat="1" x14ac:dyDescent="0.3">
      <c r="A45" s="161"/>
      <c r="B45" s="161"/>
      <c r="C45" s="161"/>
      <c r="D45" s="161"/>
      <c r="E45" s="161"/>
      <c r="F45" s="161"/>
      <c r="G45" s="161"/>
      <c r="H45" s="161"/>
      <c r="I45" s="161"/>
      <c r="J45" s="161"/>
      <c r="K45" s="161"/>
      <c r="L45" s="161"/>
      <c r="M45" s="161"/>
      <c r="N45" s="161"/>
    </row>
  </sheetData>
  <pageMargins left="0.7" right="0.7" top="0.75" bottom="0.75" header="0.3" footer="0.3"/>
  <pageSetup paperSize="9" scale="61" orientation="landscape" r:id="rId1"/>
</worksheet>
</file>

<file path=xl/worksheets/sheet1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51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1.6640625" style="161" customWidth="1"/>
    <col min="3" max="3" width="16.88671875" style="161" customWidth="1"/>
    <col min="4" max="4" width="13.5546875" style="161" bestFit="1" customWidth="1"/>
    <col min="5" max="5" width="12.88671875" style="161" customWidth="1"/>
    <col min="6" max="6" width="12" style="161" bestFit="1" customWidth="1"/>
    <col min="7" max="7" width="16.332031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N11+I20</f>
        <v>5.5980793599999998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256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1839</v>
      </c>
      <c r="D4" s="570" t="s">
        <v>541</v>
      </c>
      <c r="J4" s="570" t="s">
        <v>538</v>
      </c>
      <c r="M4" s="570" t="s">
        <v>539</v>
      </c>
      <c r="N4" s="336">
        <f>N1*N2</f>
        <v>5.5980793599999998</v>
      </c>
    </row>
    <row r="5" spans="1:14" x14ac:dyDescent="0.3">
      <c r="A5" s="570" t="s">
        <v>537</v>
      </c>
      <c r="B5" s="199" t="s">
        <v>263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311" customFormat="1" ht="28.8" x14ac:dyDescent="0.3">
      <c r="A10" s="183">
        <v>10</v>
      </c>
      <c r="B10" s="190" t="s">
        <v>606</v>
      </c>
      <c r="C10" s="183" t="s">
        <v>607</v>
      </c>
      <c r="D10" s="241">
        <v>2.25</v>
      </c>
      <c r="E10" s="183">
        <v>3.2000000000000001E-2</v>
      </c>
      <c r="F10" s="183" t="s">
        <v>644</v>
      </c>
      <c r="G10" s="183">
        <v>3.2000000000000001E-2</v>
      </c>
      <c r="H10" s="183" t="s">
        <v>644</v>
      </c>
      <c r="I10" s="269" t="s">
        <v>1875</v>
      </c>
      <c r="J10" s="632">
        <f>E10*G10</f>
        <v>1.024E-3</v>
      </c>
      <c r="K10" s="207">
        <v>1.9E-2</v>
      </c>
      <c r="L10" s="204">
        <v>7860</v>
      </c>
      <c r="M10" s="168">
        <v>1</v>
      </c>
      <c r="N10" s="385">
        <f>IF(J10="",D10*M10,D10*J10*K10*L10*M10)</f>
        <v>0.34407936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278"/>
      <c r="J11" s="178"/>
      <c r="K11" s="178"/>
      <c r="L11" s="178"/>
      <c r="M11" s="574" t="s">
        <v>547</v>
      </c>
      <c r="N11" s="619">
        <f>SUM(N10:N10)</f>
        <v>0.34407936</v>
      </c>
    </row>
    <row r="13" spans="1:14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IF('FR 07002'!$H14&lt;&gt;"",'FR 07002'!$D14*'FR 07002'!$F14*'FR 07002'!$H14,'FR 07002'!$D14*'FR 07002'!$F14)</f>
        <v>1.3</v>
      </c>
    </row>
    <row r="15" spans="1:14" ht="28.8" x14ac:dyDescent="0.3">
      <c r="A15" s="168">
        <v>20</v>
      </c>
      <c r="B15" s="180" t="s">
        <v>609</v>
      </c>
      <c r="C15" s="184" t="s">
        <v>1769</v>
      </c>
      <c r="D15" s="243">
        <v>0.04</v>
      </c>
      <c r="E15" s="180" t="s">
        <v>610</v>
      </c>
      <c r="F15" s="168">
        <v>9.8000000000000007</v>
      </c>
      <c r="G15" s="168" t="s">
        <v>598</v>
      </c>
      <c r="H15" s="168">
        <v>3</v>
      </c>
      <c r="I15" s="323">
        <f>IF('FR 07002'!$H15&lt;&gt;"",'FR 07002'!$D15*'FR 07002'!$F15*'FR 07002'!$H15,'FR 07002'!$D15*'FR 07002'!$F15)</f>
        <v>1.1760000000000002</v>
      </c>
    </row>
    <row r="16" spans="1:14" x14ac:dyDescent="0.3">
      <c r="A16" s="168">
        <v>30</v>
      </c>
      <c r="B16" s="180" t="s">
        <v>1876</v>
      </c>
      <c r="C16" s="184"/>
      <c r="D16" s="243">
        <v>0.65</v>
      </c>
      <c r="E16" s="180" t="s">
        <v>556</v>
      </c>
      <c r="F16" s="168">
        <v>1</v>
      </c>
      <c r="G16" s="168"/>
      <c r="H16" s="168"/>
      <c r="I16" s="323">
        <f>IF('FR 07002'!$H16&lt;&gt;"",'FR 07002'!$D16*'FR 07002'!$F16*'FR 07002'!$H16,'FR 07002'!$D16*'FR 07002'!$F16)</f>
        <v>0.65</v>
      </c>
    </row>
    <row r="17" spans="1:14" ht="28.8" x14ac:dyDescent="0.3">
      <c r="A17" s="168">
        <v>40</v>
      </c>
      <c r="B17" s="180" t="s">
        <v>609</v>
      </c>
      <c r="C17" s="193" t="s">
        <v>1877</v>
      </c>
      <c r="D17" s="323">
        <v>0.04</v>
      </c>
      <c r="E17" s="168" t="s">
        <v>610</v>
      </c>
      <c r="F17" s="168">
        <v>3.4</v>
      </c>
      <c r="G17" s="168" t="s">
        <v>598</v>
      </c>
      <c r="H17" s="168">
        <v>3</v>
      </c>
      <c r="I17" s="323">
        <f>IF('FR 07002'!$H17&lt;&gt;"",'FR 07002'!$D17*'FR 07002'!$F17*'FR 07002'!$H17,'FR 07002'!$D17*'FR 07002'!$F17)</f>
        <v>0.40800000000000003</v>
      </c>
    </row>
    <row r="18" spans="1:14" ht="43.2" x14ac:dyDescent="0.3">
      <c r="A18" s="168">
        <v>50</v>
      </c>
      <c r="B18" s="180" t="s">
        <v>791</v>
      </c>
      <c r="C18" s="193" t="s">
        <v>1878</v>
      </c>
      <c r="D18" s="323">
        <v>0.35</v>
      </c>
      <c r="E18" s="168" t="s">
        <v>843</v>
      </c>
      <c r="F18" s="168">
        <v>4</v>
      </c>
      <c r="G18" s="168"/>
      <c r="H18" s="168"/>
      <c r="I18" s="323">
        <f>IF('FR 07002'!$H18&lt;&gt;"",'FR 07002'!$D18*'FR 07002'!$F18*'FR 07002'!$H18,'FR 07002'!$D18*'FR 07002'!$F18)</f>
        <v>1.4</v>
      </c>
    </row>
    <row r="19" spans="1:14" ht="28.8" x14ac:dyDescent="0.3">
      <c r="A19" s="168">
        <v>60</v>
      </c>
      <c r="B19" s="180" t="s">
        <v>862</v>
      </c>
      <c r="C19" s="193" t="s">
        <v>1795</v>
      </c>
      <c r="D19" s="323">
        <v>0.1</v>
      </c>
      <c r="E19" s="168" t="s">
        <v>593</v>
      </c>
      <c r="F19" s="168">
        <v>3.2</v>
      </c>
      <c r="G19" s="168"/>
      <c r="H19" s="168"/>
      <c r="I19" s="323">
        <f>IF('FR 07002'!$H19&lt;&gt;"",'FR 07002'!$D19*'FR 07002'!$F19*'FR 07002'!$H19,'FR 07002'!$D19*'FR 07002'!$F19)</f>
        <v>0.32000000000000006</v>
      </c>
    </row>
    <row r="20" spans="1:14" x14ac:dyDescent="0.3">
      <c r="A20" s="178"/>
      <c r="B20" s="178"/>
      <c r="C20" s="178"/>
      <c r="D20" s="178"/>
      <c r="E20" s="178"/>
      <c r="F20" s="178"/>
      <c r="G20" s="178"/>
      <c r="H20" s="620" t="s">
        <v>547</v>
      </c>
      <c r="I20" s="619">
        <f>SUM(I14:I19)</f>
        <v>5.2539999999999996</v>
      </c>
    </row>
    <row r="24" spans="1:14" s="178" customFormat="1" x14ac:dyDescent="0.3">
      <c r="J24" s="161"/>
      <c r="K24" s="161"/>
      <c r="L24" s="161"/>
      <c r="M24" s="161"/>
      <c r="N24" s="161"/>
    </row>
    <row r="26" spans="1:14" s="178" customFormat="1" x14ac:dyDescent="0.3">
      <c r="J26" s="161"/>
      <c r="K26" s="161"/>
      <c r="L26" s="161"/>
      <c r="M26" s="161"/>
      <c r="N26" s="161"/>
    </row>
    <row r="28" spans="1:14" x14ac:dyDescent="0.3">
      <c r="J28" s="178"/>
      <c r="K28" s="178"/>
      <c r="L28" s="178"/>
      <c r="M28" s="178"/>
      <c r="N28" s="178"/>
    </row>
    <row r="30" spans="1:14" x14ac:dyDescent="0.3">
      <c r="K30" s="178"/>
      <c r="L30" s="178"/>
      <c r="M30" s="178"/>
      <c r="N30" s="178"/>
    </row>
    <row r="32" spans="1:14" x14ac:dyDescent="0.3">
      <c r="C32" s="289"/>
      <c r="D32" s="633"/>
      <c r="E32" s="289"/>
    </row>
    <row r="35" spans="1:14" s="178" customFormat="1" x14ac:dyDescent="0.3">
      <c r="A35" s="161"/>
      <c r="B35" s="161"/>
      <c r="C35" s="161"/>
      <c r="D35" s="161"/>
      <c r="E35" s="161"/>
      <c r="F35" s="161"/>
      <c r="G35" s="161"/>
      <c r="H35" s="161"/>
      <c r="I35" s="161"/>
      <c r="J35" s="161"/>
      <c r="K35" s="161"/>
      <c r="L35" s="161"/>
      <c r="M35" s="161"/>
      <c r="N35" s="161"/>
    </row>
    <row r="37" spans="1:14" s="178" customFormat="1" x14ac:dyDescent="0.3">
      <c r="A37" s="161"/>
      <c r="B37" s="161"/>
      <c r="C37" s="161"/>
      <c r="D37" s="161"/>
      <c r="E37" s="161"/>
      <c r="F37" s="161"/>
      <c r="G37" s="161"/>
      <c r="H37" s="161"/>
      <c r="I37" s="161"/>
      <c r="J37" s="161"/>
      <c r="K37" s="161"/>
      <c r="L37" s="161"/>
      <c r="M37" s="161"/>
      <c r="N37" s="161"/>
    </row>
    <row r="39" spans="1:14" x14ac:dyDescent="0.3">
      <c r="K39" s="178"/>
      <c r="L39" s="178"/>
      <c r="M39" s="178"/>
      <c r="N39" s="178"/>
    </row>
    <row r="41" spans="1:14" x14ac:dyDescent="0.3">
      <c r="K41" s="178"/>
      <c r="L41" s="178"/>
      <c r="M41" s="178"/>
      <c r="N41" s="178"/>
    </row>
    <row r="44" spans="1:14" x14ac:dyDescent="0.3">
      <c r="K44" s="178"/>
      <c r="L44" s="178"/>
      <c r="M44" s="178"/>
      <c r="N44" s="178"/>
    </row>
    <row r="46" spans="1:14" s="178" customFormat="1" x14ac:dyDescent="0.3">
      <c r="A46" s="161"/>
      <c r="B46" s="161"/>
      <c r="C46" s="161"/>
      <c r="D46" s="161"/>
      <c r="E46" s="161"/>
      <c r="F46" s="161"/>
      <c r="G46" s="161"/>
      <c r="H46" s="161"/>
      <c r="I46" s="161"/>
      <c r="J46" s="161"/>
      <c r="K46" s="161"/>
      <c r="L46" s="161"/>
      <c r="M46" s="161"/>
      <c r="N46" s="161"/>
    </row>
    <row r="48" spans="1:14" s="178" customFormat="1" x14ac:dyDescent="0.3">
      <c r="A48" s="161"/>
      <c r="B48" s="161"/>
      <c r="C48" s="161"/>
      <c r="D48" s="161"/>
      <c r="E48" s="161"/>
      <c r="F48" s="161"/>
      <c r="G48" s="161"/>
      <c r="H48" s="161"/>
      <c r="I48" s="161"/>
      <c r="J48" s="161"/>
      <c r="K48" s="161"/>
      <c r="L48" s="161"/>
      <c r="M48" s="161"/>
      <c r="N48" s="161"/>
    </row>
    <row r="51" spans="1:14" s="178" customFormat="1" x14ac:dyDescent="0.3">
      <c r="A51" s="161"/>
      <c r="B51" s="161"/>
      <c r="C51" s="161"/>
      <c r="D51" s="161"/>
      <c r="E51" s="161"/>
      <c r="F51" s="161"/>
      <c r="G51" s="161"/>
      <c r="H51" s="161"/>
      <c r="I51" s="161"/>
      <c r="J51" s="161"/>
      <c r="K51" s="161"/>
      <c r="L51" s="161"/>
      <c r="M51" s="161"/>
      <c r="N51" s="161"/>
    </row>
  </sheetData>
  <pageMargins left="0.7" right="0.7" top="0.75" bottom="0.75" header="0.3" footer="0.3"/>
  <pageSetup paperSize="9" scale="63" orientation="landscape" r:id="rId1"/>
</worksheet>
</file>

<file path=xl/worksheets/sheet1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48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2.109375" style="161" customWidth="1"/>
    <col min="3" max="3" width="16.88671875" style="161" customWidth="1"/>
    <col min="4" max="4" width="13.5546875" style="161" bestFit="1" customWidth="1"/>
    <col min="5" max="5" width="14.33203125" style="161" customWidth="1"/>
    <col min="6" max="6" width="12" style="161" bestFit="1" customWidth="1"/>
    <col min="7" max="7" width="16.66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6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N11+I20</f>
        <v>10.333309696000001</v>
      </c>
    </row>
    <row r="2" spans="1:14" x14ac:dyDescent="0.3">
      <c r="A2" s="570" t="s">
        <v>532</v>
      </c>
      <c r="B2" s="161" t="s">
        <v>1418</v>
      </c>
      <c r="C2" s="359" t="s">
        <v>732</v>
      </c>
      <c r="D2" s="58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256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1840</v>
      </c>
      <c r="D4" s="570" t="s">
        <v>541</v>
      </c>
      <c r="J4" s="570" t="s">
        <v>538</v>
      </c>
      <c r="M4" s="570" t="s">
        <v>539</v>
      </c>
      <c r="N4" s="336">
        <f>N1*N2</f>
        <v>10.333309696000001</v>
      </c>
    </row>
    <row r="5" spans="1:14" x14ac:dyDescent="0.3">
      <c r="A5" s="570" t="s">
        <v>537</v>
      </c>
      <c r="B5" s="199" t="s">
        <v>265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311" customFormat="1" ht="28.8" x14ac:dyDescent="0.3">
      <c r="A10" s="183">
        <v>10</v>
      </c>
      <c r="B10" s="190" t="s">
        <v>720</v>
      </c>
      <c r="C10" s="183" t="s">
        <v>607</v>
      </c>
      <c r="D10" s="241">
        <v>4.2</v>
      </c>
      <c r="E10" s="183">
        <v>3.2000000000000001E-2</v>
      </c>
      <c r="F10" s="183" t="s">
        <v>644</v>
      </c>
      <c r="G10" s="183">
        <v>3.2000000000000001E-2</v>
      </c>
      <c r="H10" s="204" t="s">
        <v>644</v>
      </c>
      <c r="I10" s="269" t="s">
        <v>1875</v>
      </c>
      <c r="J10" s="632">
        <f>E10*G10</f>
        <v>1.024E-3</v>
      </c>
      <c r="K10" s="204">
        <v>0.14699999999999999</v>
      </c>
      <c r="L10" s="204">
        <v>2710</v>
      </c>
      <c r="M10" s="168">
        <v>1</v>
      </c>
      <c r="N10" s="385">
        <f>IF(J10="",D10*M10,D10*J10*K10*L10*M10)</f>
        <v>1.7133096959999998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574" t="s">
        <v>547</v>
      </c>
      <c r="N11" s="619">
        <f>SUM(N10:N10)</f>
        <v>1.7133096959999998</v>
      </c>
    </row>
    <row r="13" spans="1:14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IF('FR 07003'!$H14&lt;&gt;"",'FR 07003'!$D14*'FR 07003'!$F14*'FR 07003'!$H14,'FR 07003'!$D14*'FR 07003'!$F14)</f>
        <v>1.3</v>
      </c>
    </row>
    <row r="15" spans="1:14" ht="43.2" x14ac:dyDescent="0.3">
      <c r="A15" s="168">
        <v>20</v>
      </c>
      <c r="B15" s="180" t="s">
        <v>609</v>
      </c>
      <c r="C15" s="193" t="s">
        <v>1879</v>
      </c>
      <c r="D15" s="323">
        <v>0.04</v>
      </c>
      <c r="E15" s="168" t="s">
        <v>610</v>
      </c>
      <c r="F15" s="168">
        <v>63.6</v>
      </c>
      <c r="G15" s="184" t="s">
        <v>710</v>
      </c>
      <c r="H15" s="168">
        <v>1</v>
      </c>
      <c r="I15" s="323">
        <f>IF('FR 07003'!$H15&lt;&gt;"",'FR 07003'!$D15*'FR 07003'!$F15*'FR 07003'!$H15,'FR 07003'!$D15*'FR 07003'!$F15)</f>
        <v>2.544</v>
      </c>
    </row>
    <row r="16" spans="1:14" ht="28.8" x14ac:dyDescent="0.3">
      <c r="A16" s="168">
        <v>30</v>
      </c>
      <c r="B16" s="180" t="s">
        <v>791</v>
      </c>
      <c r="C16" s="193" t="s">
        <v>1880</v>
      </c>
      <c r="D16" s="323">
        <v>0.35</v>
      </c>
      <c r="E16" s="168" t="s">
        <v>843</v>
      </c>
      <c r="F16" s="168">
        <v>1</v>
      </c>
      <c r="G16" s="168"/>
      <c r="H16" s="168"/>
      <c r="I16" s="323">
        <f>IF('FR 07003'!$H16&lt;&gt;"",'FR 07003'!$D16*'FR 07003'!$F16*'FR 07003'!$H16,'FR 07003'!$D16*'FR 07003'!$F16)</f>
        <v>0.35</v>
      </c>
    </row>
    <row r="17" spans="1:14" x14ac:dyDescent="0.3">
      <c r="A17" s="168">
        <v>40</v>
      </c>
      <c r="B17" s="180" t="s">
        <v>785</v>
      </c>
      <c r="C17" s="184"/>
      <c r="D17" s="243">
        <v>0.65</v>
      </c>
      <c r="E17" s="180" t="s">
        <v>556</v>
      </c>
      <c r="F17" s="168">
        <v>1</v>
      </c>
      <c r="G17" s="168"/>
      <c r="H17" s="168"/>
      <c r="I17" s="323">
        <f>IF('FR 07003'!$H17&lt;&gt;"",'FR 07003'!$D17*'FR 07003'!$F17*'FR 07003'!$H17,'FR 07003'!$D17*'FR 07003'!$F17)</f>
        <v>0.65</v>
      </c>
    </row>
    <row r="18" spans="1:14" ht="28.8" x14ac:dyDescent="0.3">
      <c r="A18" s="168">
        <v>50</v>
      </c>
      <c r="B18" s="180" t="s">
        <v>609</v>
      </c>
      <c r="C18" s="193" t="s">
        <v>1881</v>
      </c>
      <c r="D18" s="323">
        <v>0.04</v>
      </c>
      <c r="E18" s="168" t="s">
        <v>610</v>
      </c>
      <c r="F18" s="168">
        <v>59.4</v>
      </c>
      <c r="G18" s="184" t="s">
        <v>710</v>
      </c>
      <c r="H18" s="168">
        <v>1</v>
      </c>
      <c r="I18" s="323">
        <f>IF('FR 07003'!$H18&lt;&gt;"",'FR 07003'!$D18*'FR 07003'!$F18*'FR 07003'!$H18,'FR 07003'!$D18*'FR 07003'!$F18)</f>
        <v>2.3759999999999999</v>
      </c>
    </row>
    <row r="19" spans="1:14" ht="28.8" x14ac:dyDescent="0.3">
      <c r="A19" s="168">
        <v>60</v>
      </c>
      <c r="B19" s="180" t="s">
        <v>791</v>
      </c>
      <c r="C19" s="193" t="s">
        <v>1882</v>
      </c>
      <c r="D19" s="323">
        <v>0.35</v>
      </c>
      <c r="E19" s="168" t="s">
        <v>843</v>
      </c>
      <c r="F19" s="168">
        <v>4</v>
      </c>
      <c r="G19" s="168"/>
      <c r="H19" s="168"/>
      <c r="I19" s="323">
        <f>IF('FR 07003'!$H19&lt;&gt;"",'FR 07003'!$D19*'FR 07003'!$F19*'FR 07003'!$H19,'FR 07003'!$D19*'FR 07003'!$F19)</f>
        <v>1.4</v>
      </c>
    </row>
    <row r="20" spans="1:14" x14ac:dyDescent="0.3">
      <c r="A20" s="178"/>
      <c r="B20" s="178"/>
      <c r="C20" s="178"/>
      <c r="D20" s="178"/>
      <c r="E20" s="178"/>
      <c r="F20" s="178"/>
      <c r="G20" s="178"/>
      <c r="H20" s="620" t="s">
        <v>547</v>
      </c>
      <c r="I20" s="619">
        <f>SUM(I14:I19)</f>
        <v>8.620000000000001</v>
      </c>
    </row>
    <row r="21" spans="1:14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3" spans="1:14" s="178" customFormat="1" x14ac:dyDescent="0.3">
      <c r="A23" s="161"/>
      <c r="B23" s="161"/>
      <c r="C23" s="161"/>
      <c r="D23" s="161"/>
      <c r="E23" s="161"/>
      <c r="F23" s="161"/>
      <c r="G23" s="161"/>
      <c r="H23" s="161"/>
      <c r="I23" s="161"/>
      <c r="J23" s="161"/>
      <c r="K23" s="161"/>
      <c r="L23" s="161"/>
      <c r="M23" s="161"/>
      <c r="N23" s="161"/>
    </row>
    <row r="25" spans="1:14" x14ac:dyDescent="0.3">
      <c r="C25" s="289"/>
      <c r="J25" s="178"/>
      <c r="K25" s="178"/>
      <c r="L25" s="178"/>
      <c r="M25" s="178"/>
      <c r="N25" s="178"/>
    </row>
    <row r="27" spans="1:14" x14ac:dyDescent="0.3">
      <c r="K27" s="178"/>
      <c r="L27" s="178"/>
      <c r="M27" s="178"/>
      <c r="N27" s="178"/>
    </row>
    <row r="32" spans="1:14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</row>
    <row r="34" spans="1:14" s="178" customFormat="1" x14ac:dyDescent="0.3">
      <c r="A34" s="161"/>
      <c r="B34" s="161"/>
      <c r="C34" s="161"/>
      <c r="D34" s="161"/>
      <c r="E34" s="161"/>
      <c r="F34" s="161"/>
      <c r="G34" s="161"/>
      <c r="H34" s="161"/>
      <c r="I34" s="161"/>
      <c r="J34" s="161"/>
      <c r="K34" s="161"/>
      <c r="L34" s="161"/>
      <c r="M34" s="161"/>
      <c r="N34" s="161"/>
    </row>
    <row r="36" spans="1:14" x14ac:dyDescent="0.3">
      <c r="K36" s="178"/>
      <c r="L36" s="178"/>
      <c r="M36" s="178"/>
      <c r="N36" s="178"/>
    </row>
    <row r="38" spans="1:14" x14ac:dyDescent="0.3">
      <c r="K38" s="178"/>
      <c r="L38" s="178"/>
      <c r="M38" s="178"/>
      <c r="N38" s="178"/>
    </row>
    <row r="41" spans="1:14" x14ac:dyDescent="0.3">
      <c r="K41" s="178"/>
      <c r="L41" s="178"/>
      <c r="M41" s="178"/>
      <c r="N41" s="178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45" spans="1:14" s="178" customFormat="1" x14ac:dyDescent="0.3">
      <c r="A45" s="161"/>
      <c r="B45" s="161"/>
      <c r="C45" s="161"/>
      <c r="D45" s="161"/>
      <c r="E45" s="161"/>
      <c r="F45" s="161"/>
      <c r="G45" s="161"/>
      <c r="H45" s="161"/>
      <c r="I45" s="161"/>
      <c r="J45" s="161"/>
      <c r="K45" s="161"/>
      <c r="L45" s="161"/>
      <c r="M45" s="161"/>
      <c r="N45" s="161"/>
    </row>
    <row r="48" spans="1:14" s="178" customFormat="1" x14ac:dyDescent="0.3">
      <c r="A48" s="161"/>
      <c r="B48" s="161"/>
      <c r="C48" s="161"/>
      <c r="D48" s="161"/>
      <c r="E48" s="161"/>
      <c r="F48" s="161"/>
      <c r="G48" s="161"/>
      <c r="H48" s="161"/>
      <c r="I48" s="161"/>
      <c r="J48" s="161"/>
      <c r="K48" s="161"/>
      <c r="L48" s="161"/>
      <c r="M48" s="161"/>
      <c r="N48" s="161"/>
    </row>
  </sheetData>
  <hyperlinks>
    <hyperlink ref="D2" location="'Actuator right mount'!A1" display="FileLink1"/>
  </hyperlinks>
  <pageMargins left="0.7" right="0.7" top="0.75" bottom="0.75" header="0.3" footer="0.3"/>
  <pageSetup paperSize="9" scale="63" orientation="landscape" r:id="rId1"/>
  <drawing r:id="rId2"/>
</worksheet>
</file>

<file path=xl/worksheets/sheet1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4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9.8867187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5.66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6.5546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N11+I20</f>
        <v>9.0197606400000012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256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1841</v>
      </c>
      <c r="D4" s="570" t="s">
        <v>541</v>
      </c>
      <c r="J4" s="570" t="s">
        <v>538</v>
      </c>
      <c r="M4" s="570" t="s">
        <v>539</v>
      </c>
      <c r="N4" s="336">
        <f>N1*N2</f>
        <v>9.0197606400000012</v>
      </c>
    </row>
    <row r="5" spans="1:14" x14ac:dyDescent="0.3">
      <c r="A5" s="570" t="s">
        <v>537</v>
      </c>
      <c r="B5" s="199" t="s">
        <v>267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311" customFormat="1" ht="28.8" x14ac:dyDescent="0.3">
      <c r="A10" s="183">
        <v>10</v>
      </c>
      <c r="B10" s="190" t="s">
        <v>606</v>
      </c>
      <c r="C10" s="183" t="s">
        <v>607</v>
      </c>
      <c r="D10" s="241">
        <v>2.25</v>
      </c>
      <c r="E10" s="183">
        <v>4.8000000000000001E-2</v>
      </c>
      <c r="F10" s="183" t="s">
        <v>644</v>
      </c>
      <c r="G10" s="183">
        <v>3.2000000000000001E-2</v>
      </c>
      <c r="H10" s="204" t="s">
        <v>644</v>
      </c>
      <c r="I10" s="269" t="s">
        <v>1883</v>
      </c>
      <c r="J10" s="632">
        <f>E10*G10</f>
        <v>1.536E-3</v>
      </c>
      <c r="K10" s="207">
        <v>2.9000000000000001E-2</v>
      </c>
      <c r="L10" s="204">
        <v>7860</v>
      </c>
      <c r="M10" s="168">
        <v>1</v>
      </c>
      <c r="N10" s="385">
        <f>IF(J10="",D10*M10,D10*J10*K10*L10*M10)</f>
        <v>0.78776064000000001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574" t="s">
        <v>547</v>
      </c>
      <c r="N11" s="619">
        <f>SUM(N10:N10)</f>
        <v>0.78776064000000001</v>
      </c>
    </row>
    <row r="13" spans="1:14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IF('FR 07004'!$H14&lt;&gt;"",'FR 07004'!$D14*'FR 07004'!$F14*'FR 07004'!$H14,'FR 07004'!$D14*'FR 07004'!$F14)</f>
        <v>1.3</v>
      </c>
    </row>
    <row r="15" spans="1:14" ht="28.8" x14ac:dyDescent="0.3">
      <c r="A15" s="168">
        <v>20</v>
      </c>
      <c r="B15" s="180" t="s">
        <v>609</v>
      </c>
      <c r="C15" s="184" t="s">
        <v>1769</v>
      </c>
      <c r="D15" s="243">
        <v>0.04</v>
      </c>
      <c r="E15" s="180" t="s">
        <v>610</v>
      </c>
      <c r="F15" s="168">
        <v>23.5</v>
      </c>
      <c r="G15" s="168" t="s">
        <v>598</v>
      </c>
      <c r="H15" s="168">
        <v>3</v>
      </c>
      <c r="I15" s="323">
        <f>H15*F15*D15</f>
        <v>2.82</v>
      </c>
    </row>
    <row r="16" spans="1:14" ht="28.8" x14ac:dyDescent="0.3">
      <c r="A16" s="168">
        <v>30</v>
      </c>
      <c r="B16" s="180" t="s">
        <v>1876</v>
      </c>
      <c r="C16" s="184"/>
      <c r="D16" s="243">
        <v>0.65</v>
      </c>
      <c r="E16" s="180" t="s">
        <v>556</v>
      </c>
      <c r="F16" s="168">
        <v>1</v>
      </c>
      <c r="G16" s="168"/>
      <c r="H16" s="168"/>
      <c r="I16" s="323">
        <f>IF('FR 07004'!$H16&lt;&gt;"",'FR 07004'!$D16*'FR 07004'!$F16*'FR 07004'!$H16,'FR 07004'!$D16*'FR 07004'!$F16)</f>
        <v>0.65</v>
      </c>
    </row>
    <row r="17" spans="1:14" ht="28.8" x14ac:dyDescent="0.3">
      <c r="A17" s="168">
        <v>40</v>
      </c>
      <c r="B17" s="180" t="s">
        <v>609</v>
      </c>
      <c r="C17" s="193" t="s">
        <v>1877</v>
      </c>
      <c r="D17" s="323">
        <v>0.04</v>
      </c>
      <c r="E17" s="168" t="s">
        <v>610</v>
      </c>
      <c r="F17" s="168">
        <v>11.6</v>
      </c>
      <c r="G17" s="168" t="s">
        <v>598</v>
      </c>
      <c r="H17" s="168">
        <v>3</v>
      </c>
      <c r="I17" s="323">
        <f>IF('FR 07004'!$H17&lt;&gt;"",'FR 07004'!$D17*'FR 07004'!$F17*'FR 07004'!$H17,'FR 07004'!$D17*'FR 07004'!$F17)</f>
        <v>1.3919999999999999</v>
      </c>
    </row>
    <row r="18" spans="1:14" ht="43.2" x14ac:dyDescent="0.3">
      <c r="A18" s="168">
        <v>50</v>
      </c>
      <c r="B18" s="180" t="s">
        <v>791</v>
      </c>
      <c r="C18" s="193" t="s">
        <v>1884</v>
      </c>
      <c r="D18" s="323">
        <v>0.35</v>
      </c>
      <c r="E18" s="168" t="s">
        <v>843</v>
      </c>
      <c r="F18" s="168">
        <v>5</v>
      </c>
      <c r="G18" s="168"/>
      <c r="H18" s="168"/>
      <c r="I18" s="323">
        <f>IF('FR 07004'!$H18&lt;&gt;"",'FR 07004'!$D18*'FR 07004'!$F18*'FR 07004'!$H18,'FR 07004'!$D18*'FR 07004'!$F18)</f>
        <v>1.75</v>
      </c>
    </row>
    <row r="19" spans="1:14" s="178" customFormat="1" ht="28.8" x14ac:dyDescent="0.3">
      <c r="A19" s="168">
        <v>60</v>
      </c>
      <c r="B19" s="180" t="s">
        <v>862</v>
      </c>
      <c r="C19" s="193" t="s">
        <v>1795</v>
      </c>
      <c r="D19" s="323">
        <v>0.1</v>
      </c>
      <c r="E19" s="168" t="s">
        <v>593</v>
      </c>
      <c r="F19" s="168">
        <v>3.2</v>
      </c>
      <c r="G19" s="168"/>
      <c r="H19" s="168"/>
      <c r="I19" s="323">
        <f>IF('FR 07004'!$H19&lt;&gt;"",'FR 07004'!$D19*'FR 07004'!$F19*'FR 07004'!$H19,'FR 07004'!$D19*'FR 07004'!$F19)</f>
        <v>0.32000000000000006</v>
      </c>
      <c r="J19" s="161"/>
      <c r="K19" s="161"/>
      <c r="L19" s="161"/>
      <c r="M19" s="161"/>
      <c r="N19" s="161"/>
    </row>
    <row r="20" spans="1:14" x14ac:dyDescent="0.3">
      <c r="A20" s="178"/>
      <c r="B20" s="178"/>
      <c r="C20" s="178"/>
      <c r="D20" s="178"/>
      <c r="E20" s="178"/>
      <c r="F20" s="178"/>
      <c r="G20" s="178"/>
      <c r="H20" s="620" t="s">
        <v>547</v>
      </c>
      <c r="I20" s="619">
        <f>SUM(I14:I19)</f>
        <v>8.2320000000000011</v>
      </c>
    </row>
    <row r="21" spans="1:14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3" spans="1:14" x14ac:dyDescent="0.3">
      <c r="J23" s="178"/>
      <c r="K23" s="178"/>
      <c r="L23" s="178"/>
      <c r="M23" s="178"/>
      <c r="N23" s="178"/>
    </row>
    <row r="25" spans="1:14" x14ac:dyDescent="0.3">
      <c r="K25" s="178"/>
      <c r="L25" s="178"/>
      <c r="M25" s="178"/>
      <c r="N25" s="178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2" spans="1:14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</row>
    <row r="34" spans="1:14" x14ac:dyDescent="0.3">
      <c r="K34" s="178"/>
      <c r="L34" s="178"/>
      <c r="M34" s="178"/>
      <c r="N34" s="178"/>
    </row>
    <row r="36" spans="1:14" x14ac:dyDescent="0.3">
      <c r="K36" s="178"/>
      <c r="L36" s="178"/>
      <c r="M36" s="178"/>
      <c r="N36" s="178"/>
    </row>
    <row r="39" spans="1:14" x14ac:dyDescent="0.3">
      <c r="K39" s="178"/>
      <c r="L39" s="178"/>
      <c r="M39" s="178"/>
      <c r="N39" s="178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46" spans="1:14" s="178" customFormat="1" x14ac:dyDescent="0.3">
      <c r="A46" s="161"/>
      <c r="B46" s="161"/>
      <c r="C46" s="161"/>
      <c r="D46" s="161"/>
      <c r="E46" s="161"/>
      <c r="F46" s="161"/>
      <c r="G46" s="161"/>
      <c r="H46" s="161"/>
      <c r="I46" s="161"/>
      <c r="J46" s="161"/>
      <c r="K46" s="161"/>
      <c r="L46" s="161"/>
      <c r="M46" s="161"/>
      <c r="N46" s="161"/>
    </row>
  </sheetData>
  <pageMargins left="0.7" right="0.7" top="0.75" bottom="0.75" header="0.3" footer="0.3"/>
  <pageSetup paperSize="9" scale="64" orientation="landscape" r:id="rId1"/>
</worksheet>
</file>

<file path=xl/worksheets/sheet1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4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9.66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1.1093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3.0007792640000002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1">
        <v>1</v>
      </c>
    </row>
    <row r="3" spans="1:14" x14ac:dyDescent="0.3">
      <c r="A3" s="570" t="s">
        <v>534</v>
      </c>
      <c r="B3" s="161" t="s">
        <v>256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1842</v>
      </c>
      <c r="D4" s="570" t="s">
        <v>541</v>
      </c>
      <c r="J4" s="570" t="s">
        <v>538</v>
      </c>
      <c r="M4" s="570" t="s">
        <v>539</v>
      </c>
      <c r="N4" s="336">
        <f>N1*N2</f>
        <v>3.0007792640000002</v>
      </c>
    </row>
    <row r="5" spans="1:14" x14ac:dyDescent="0.3">
      <c r="A5" s="570" t="s">
        <v>537</v>
      </c>
      <c r="B5" s="199" t="s">
        <v>269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311" customFormat="1" ht="28.8" x14ac:dyDescent="0.3">
      <c r="A10" s="183">
        <v>10</v>
      </c>
      <c r="B10" s="634" t="s">
        <v>720</v>
      </c>
      <c r="C10" s="183" t="s">
        <v>607</v>
      </c>
      <c r="D10" s="241">
        <v>4.2</v>
      </c>
      <c r="E10" s="183">
        <v>4.8000000000000001E-2</v>
      </c>
      <c r="F10" s="183" t="s">
        <v>644</v>
      </c>
      <c r="G10" s="183">
        <v>3.2000000000000001E-2</v>
      </c>
      <c r="H10" s="204" t="s">
        <v>644</v>
      </c>
      <c r="I10" s="269" t="s">
        <v>1883</v>
      </c>
      <c r="J10" s="632">
        <f>E10*G10</f>
        <v>1.536E-3</v>
      </c>
      <c r="K10" s="207">
        <v>7.0000000000000001E-3</v>
      </c>
      <c r="L10" s="204">
        <v>2710</v>
      </c>
      <c r="M10" s="168">
        <v>1</v>
      </c>
      <c r="N10" s="385">
        <f>IF(J10="",D10*M10,D10*J10*K10*L10*M10)</f>
        <v>0.12237926400000002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574" t="s">
        <v>547</v>
      </c>
      <c r="N11" s="619">
        <f>SUM(N10:N10)</f>
        <v>0.12237926400000002</v>
      </c>
    </row>
    <row r="13" spans="1:14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  <c r="J13" s="178"/>
      <c r="K13" s="178"/>
      <c r="L13" s="178"/>
      <c r="M13" s="178"/>
      <c r="N13" s="178"/>
    </row>
    <row r="14" spans="1:14" s="248" customFormat="1" ht="28.8" x14ac:dyDescent="0.3">
      <c r="A14" s="184">
        <v>10</v>
      </c>
      <c r="B14" s="180" t="s">
        <v>589</v>
      </c>
      <c r="C14" s="193"/>
      <c r="D14" s="362">
        <v>1.3</v>
      </c>
      <c r="E14" s="184"/>
      <c r="F14" s="184">
        <v>1</v>
      </c>
      <c r="G14" s="184"/>
      <c r="H14" s="184"/>
      <c r="I14" s="362">
        <f>IF('FR 07005'!$H14&lt;&gt;"",'FR 07005'!$D14*'FR 07005'!$F14*'FR 07005'!$H14,'FR 07005'!$D14*'FR 07005'!$F14)</f>
        <v>1.3</v>
      </c>
    </row>
    <row r="15" spans="1:14" ht="28.8" x14ac:dyDescent="0.3">
      <c r="A15" s="168">
        <v>20</v>
      </c>
      <c r="B15" s="180" t="s">
        <v>609</v>
      </c>
      <c r="C15" s="171"/>
      <c r="D15" s="323">
        <v>0.04</v>
      </c>
      <c r="E15" s="168" t="s">
        <v>610</v>
      </c>
      <c r="F15" s="168">
        <v>4.46</v>
      </c>
      <c r="G15" s="184" t="s">
        <v>710</v>
      </c>
      <c r="H15" s="168">
        <v>1</v>
      </c>
      <c r="I15" s="323">
        <f>IF('FR 07005'!$H15&lt;&gt;"",'FR 07005'!$D15*'FR 07005'!$F15*'FR 07005'!$H15,'FR 07005'!$D15*'FR 07005'!$F15)</f>
        <v>0.1784</v>
      </c>
    </row>
    <row r="16" spans="1:14" ht="28.8" x14ac:dyDescent="0.3">
      <c r="A16" s="168">
        <v>30</v>
      </c>
      <c r="B16" s="180" t="s">
        <v>791</v>
      </c>
      <c r="C16" s="171"/>
      <c r="D16" s="323">
        <v>0.35</v>
      </c>
      <c r="E16" s="168" t="s">
        <v>843</v>
      </c>
      <c r="F16" s="168">
        <v>4</v>
      </c>
      <c r="G16" s="168"/>
      <c r="H16" s="168"/>
      <c r="I16" s="323">
        <f>IF('FR 07005'!$H16&lt;&gt;"",'FR 07005'!$D16*'FR 07005'!$F16*'FR 07005'!$H16,'FR 07005'!$D16*'FR 07005'!$F16)</f>
        <v>1.4</v>
      </c>
    </row>
    <row r="17" spans="1:14" x14ac:dyDescent="0.3">
      <c r="A17" s="178"/>
      <c r="B17" s="178"/>
      <c r="C17" s="178"/>
      <c r="D17" s="178"/>
      <c r="E17" s="178"/>
      <c r="F17" s="178"/>
      <c r="G17" s="178"/>
      <c r="H17" s="620" t="s">
        <v>547</v>
      </c>
      <c r="I17" s="619">
        <f>SUM(I14:I16)</f>
        <v>2.8784000000000001</v>
      </c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20" spans="1:14" s="178" customFormat="1" x14ac:dyDescent="0.3">
      <c r="A20" s="161"/>
      <c r="B20" s="161"/>
      <c r="C20" s="161"/>
      <c r="D20" s="161"/>
      <c r="E20" s="161"/>
      <c r="F20" s="161"/>
      <c r="G20" s="161"/>
      <c r="H20" s="161"/>
      <c r="I20" s="161"/>
      <c r="J20" s="161"/>
      <c r="K20" s="161"/>
      <c r="L20" s="161"/>
      <c r="M20" s="161"/>
      <c r="N20" s="161"/>
    </row>
    <row r="22" spans="1:14" x14ac:dyDescent="0.3">
      <c r="J22" s="178"/>
      <c r="K22" s="178"/>
      <c r="L22" s="178"/>
      <c r="M22" s="178"/>
      <c r="N22" s="178"/>
    </row>
    <row r="24" spans="1:14" x14ac:dyDescent="0.3">
      <c r="K24" s="178"/>
      <c r="L24" s="178"/>
      <c r="M24" s="178"/>
      <c r="N24" s="178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  <c r="L31" s="161"/>
      <c r="M31" s="161"/>
      <c r="N31" s="161"/>
    </row>
    <row r="33" spans="1:14" x14ac:dyDescent="0.3">
      <c r="K33" s="178"/>
      <c r="L33" s="178"/>
      <c r="M33" s="178"/>
      <c r="N33" s="178"/>
    </row>
    <row r="35" spans="1:14" x14ac:dyDescent="0.3">
      <c r="K35" s="178"/>
      <c r="L35" s="178"/>
      <c r="M35" s="178"/>
      <c r="N35" s="178"/>
    </row>
    <row r="38" spans="1:14" x14ac:dyDescent="0.3">
      <c r="K38" s="178"/>
      <c r="L38" s="178"/>
      <c r="M38" s="178"/>
      <c r="N38" s="178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2" spans="1:14" s="178" customFormat="1" x14ac:dyDescent="0.3">
      <c r="A42" s="161"/>
      <c r="B42" s="161"/>
      <c r="C42" s="161"/>
      <c r="D42" s="161"/>
      <c r="E42" s="161"/>
      <c r="F42" s="161"/>
      <c r="G42" s="161"/>
      <c r="H42" s="161"/>
      <c r="I42" s="161"/>
      <c r="J42" s="161"/>
      <c r="K42" s="161"/>
      <c r="L42" s="161"/>
      <c r="M42" s="161"/>
      <c r="N42" s="161"/>
    </row>
    <row r="45" spans="1:14" s="178" customFormat="1" x14ac:dyDescent="0.3">
      <c r="A45" s="161"/>
      <c r="B45" s="161"/>
      <c r="C45" s="161"/>
      <c r="D45" s="161"/>
      <c r="E45" s="161"/>
      <c r="F45" s="161"/>
      <c r="G45" s="161"/>
      <c r="H45" s="161"/>
      <c r="I45" s="161"/>
      <c r="J45" s="161"/>
      <c r="K45" s="161"/>
      <c r="L45" s="161"/>
      <c r="M45" s="161"/>
      <c r="N45" s="161"/>
    </row>
  </sheetData>
  <pageMargins left="0.7" right="0.7" top="0.75" bottom="0.75" header="0.3" footer="0.3"/>
  <pageSetup paperSize="9" scale="66" orientation="landscape" r:id="rId1"/>
</worksheet>
</file>

<file path=xl/worksheets/sheet1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4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33.6640625" style="161" customWidth="1"/>
    <col min="8" max="8" width="13.88671875" style="161" bestFit="1" customWidth="1"/>
    <col min="9" max="9" width="16.332031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N11+I18</f>
        <v>4.1724271903884649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256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1843</v>
      </c>
      <c r="D4" s="570" t="s">
        <v>541</v>
      </c>
      <c r="J4" s="570" t="s">
        <v>538</v>
      </c>
      <c r="M4" s="570" t="s">
        <v>539</v>
      </c>
      <c r="N4" s="336">
        <f>N1*N2</f>
        <v>4.1724271903884649</v>
      </c>
    </row>
    <row r="5" spans="1:14" x14ac:dyDescent="0.3">
      <c r="A5" s="570" t="s">
        <v>537</v>
      </c>
      <c r="B5" s="199" t="s">
        <v>271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1885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225" t="s">
        <v>720</v>
      </c>
      <c r="C10" s="183" t="s">
        <v>607</v>
      </c>
      <c r="D10" s="323">
        <v>4.2</v>
      </c>
      <c r="E10" s="168">
        <v>8.7999999999999995E-2</v>
      </c>
      <c r="F10" s="168" t="s">
        <v>644</v>
      </c>
      <c r="G10" s="168"/>
      <c r="H10" s="219"/>
      <c r="I10" s="269" t="s">
        <v>1886</v>
      </c>
      <c r="J10" s="624">
        <f>(PI()*E10*E10)/8</f>
        <v>3.041061688674919E-3</v>
      </c>
      <c r="K10" s="228">
        <v>1.7000000000000001E-2</v>
      </c>
      <c r="L10" s="219">
        <v>2710</v>
      </c>
      <c r="M10" s="168">
        <v>1</v>
      </c>
      <c r="N10" s="322">
        <f>IF(J10="",D10*M10,D10*J10*K10*L10*M10)</f>
        <v>0.5884271903884648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574" t="s">
        <v>547</v>
      </c>
      <c r="N11" s="619">
        <f>SUM(N10:N10)</f>
        <v>0.5884271903884648</v>
      </c>
    </row>
    <row r="13" spans="1:14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1898</v>
      </c>
      <c r="H14" s="168">
        <v>0.5</v>
      </c>
      <c r="I14" s="323">
        <f>IF('FR 07006'!$H14&lt;&gt;"",'FR 07006'!$D14*'FR 07006'!$F14*'FR 07006'!$H14,'FR 07006'!$D14*'FR 07006'!$F14)</f>
        <v>0.65</v>
      </c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43.1</v>
      </c>
      <c r="G15" s="184" t="s">
        <v>710</v>
      </c>
      <c r="H15" s="168">
        <v>1</v>
      </c>
      <c r="I15" s="323">
        <f>IF('FR 07006'!$H15&lt;&gt;"",'FR 07006'!$D15*'FR 07006'!$F15*'FR 07006'!$H15,'FR 07006'!$D15*'FR 07006'!$F15)</f>
        <v>1.7240000000000002</v>
      </c>
    </row>
    <row r="16" spans="1:14" ht="28.8" x14ac:dyDescent="0.3">
      <c r="A16" s="168">
        <v>30</v>
      </c>
      <c r="B16" s="180" t="s">
        <v>791</v>
      </c>
      <c r="C16" s="171"/>
      <c r="D16" s="323">
        <v>0.35</v>
      </c>
      <c r="E16" s="168" t="s">
        <v>843</v>
      </c>
      <c r="F16" s="168">
        <v>3</v>
      </c>
      <c r="G16" s="168"/>
      <c r="H16" s="168"/>
      <c r="I16" s="323">
        <f>IF('FR 07006'!$H16&lt;&gt;"",'FR 07006'!$D16*'FR 07006'!$F16*'FR 07006'!$H16,'FR 07006'!$D16*'FR 07006'!$F16)</f>
        <v>1.0499999999999998</v>
      </c>
    </row>
    <row r="17" spans="1:14" ht="43.2" x14ac:dyDescent="0.3">
      <c r="A17" s="168">
        <v>40</v>
      </c>
      <c r="B17" s="180" t="s">
        <v>862</v>
      </c>
      <c r="C17" s="171"/>
      <c r="D17" s="323">
        <v>0.1</v>
      </c>
      <c r="E17" s="168" t="s">
        <v>593</v>
      </c>
      <c r="F17" s="168">
        <v>1.6</v>
      </c>
      <c r="G17" s="168"/>
      <c r="H17" s="168"/>
      <c r="I17" s="323">
        <f>IF('FR 07006'!$H17&lt;&gt;"",'FR 07006'!$D17*'FR 07006'!$F17*'FR 07006'!$H17,'FR 07006'!$D17*'FR 07006'!$F17)</f>
        <v>0.16000000000000003</v>
      </c>
    </row>
    <row r="18" spans="1:14" x14ac:dyDescent="0.3">
      <c r="A18" s="178"/>
      <c r="B18" s="178"/>
      <c r="C18" s="178"/>
      <c r="D18" s="178"/>
      <c r="E18" s="178"/>
      <c r="F18" s="178"/>
      <c r="G18" s="178"/>
      <c r="H18" s="620" t="s">
        <v>547</v>
      </c>
      <c r="I18" s="619">
        <f>SUM(I14:I17)</f>
        <v>3.5840000000000001</v>
      </c>
    </row>
    <row r="19" spans="1:14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1" spans="1:14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2" spans="1:14" x14ac:dyDescent="0.3">
      <c r="J22" s="178"/>
    </row>
    <row r="23" spans="1:14" x14ac:dyDescent="0.3">
      <c r="K23" s="178"/>
      <c r="L23" s="178"/>
      <c r="M23" s="178"/>
      <c r="N23" s="178"/>
    </row>
    <row r="25" spans="1:14" x14ac:dyDescent="0.3">
      <c r="K25" s="178"/>
      <c r="L25" s="178"/>
      <c r="M25" s="178"/>
      <c r="N25" s="178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2" spans="1:14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</row>
    <row r="34" spans="1:14" x14ac:dyDescent="0.3">
      <c r="K34" s="178"/>
      <c r="L34" s="178"/>
      <c r="M34" s="178"/>
      <c r="N34" s="178"/>
    </row>
    <row r="36" spans="1:14" x14ac:dyDescent="0.3">
      <c r="K36" s="178"/>
      <c r="L36" s="178"/>
      <c r="M36" s="178"/>
      <c r="N36" s="178"/>
    </row>
    <row r="39" spans="1:14" x14ac:dyDescent="0.3">
      <c r="K39" s="178"/>
      <c r="L39" s="178"/>
      <c r="M39" s="178"/>
      <c r="N39" s="178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46" spans="1:14" s="178" customFormat="1" x14ac:dyDescent="0.3">
      <c r="A46" s="161"/>
      <c r="B46" s="161"/>
      <c r="C46" s="161"/>
      <c r="D46" s="161"/>
      <c r="E46" s="161"/>
      <c r="F46" s="161"/>
      <c r="G46" s="161"/>
      <c r="H46" s="161"/>
      <c r="I46" s="161"/>
      <c r="J46" s="161"/>
      <c r="K46" s="161"/>
      <c r="L46" s="161"/>
      <c r="M46" s="161"/>
      <c r="N46" s="161"/>
    </row>
  </sheetData>
  <pageMargins left="0.7" right="0.7" top="0.75" bottom="0.75" header="0.3" footer="0.3"/>
  <pageSetup paperSize="9" scale="60" orientation="landscape" r:id="rId1"/>
</worksheet>
</file>

<file path=xl/worksheets/sheet1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4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0.66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26.44140625" style="161" customWidth="1"/>
    <col min="8" max="8" width="13.88671875" style="161" bestFit="1" customWidth="1"/>
    <col min="9" max="9" width="15.5546875" style="161" bestFit="1" customWidth="1"/>
    <col min="10" max="10" width="13.5546875" style="161" customWidth="1"/>
    <col min="11" max="11" width="10.44140625" style="161" bestFit="1" customWidth="1"/>
    <col min="12" max="12" width="11.33203125" style="161" bestFit="1" customWidth="1"/>
    <col min="13" max="13" width="16.88671875" style="16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N11+I18</f>
        <v>4.2884271903884645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1</v>
      </c>
    </row>
    <row r="3" spans="1:14" x14ac:dyDescent="0.3">
      <c r="A3" s="570" t="s">
        <v>534</v>
      </c>
      <c r="B3" s="161" t="s">
        <v>256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1" t="s">
        <v>1887</v>
      </c>
      <c r="D4" s="570" t="s">
        <v>541</v>
      </c>
      <c r="J4" s="570" t="s">
        <v>538</v>
      </c>
      <c r="M4" s="570" t="s">
        <v>539</v>
      </c>
      <c r="N4" s="336">
        <f>N1*N2</f>
        <v>4.2884271903884645</v>
      </c>
    </row>
    <row r="5" spans="1:14" x14ac:dyDescent="0.3">
      <c r="A5" s="570" t="s">
        <v>537</v>
      </c>
      <c r="B5" s="199" t="s">
        <v>273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311" customFormat="1" ht="28.8" x14ac:dyDescent="0.3">
      <c r="A10" s="183">
        <v>10</v>
      </c>
      <c r="B10" s="190" t="s">
        <v>720</v>
      </c>
      <c r="C10" s="183" t="s">
        <v>607</v>
      </c>
      <c r="D10" s="241">
        <v>4.2</v>
      </c>
      <c r="E10" s="183">
        <v>8.7999999999999995E-2</v>
      </c>
      <c r="F10" s="183" t="s">
        <v>644</v>
      </c>
      <c r="G10" s="183"/>
      <c r="H10" s="204"/>
      <c r="I10" s="269" t="s">
        <v>1886</v>
      </c>
      <c r="J10" s="632">
        <f>(PI()*E10*E10)/8</f>
        <v>3.041061688674919E-3</v>
      </c>
      <c r="K10" s="207">
        <v>1.7000000000000001E-2</v>
      </c>
      <c r="L10" s="204">
        <v>2710</v>
      </c>
      <c r="M10" s="183">
        <v>1</v>
      </c>
      <c r="N10" s="385">
        <f>IF(J10="",D10*M10,D10*J10*K10*L10*M10)</f>
        <v>0.5884271903884648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574" t="s">
        <v>547</v>
      </c>
      <c r="N11" s="619">
        <f>SUM(N10:N10)</f>
        <v>0.5884271903884648</v>
      </c>
    </row>
    <row r="13" spans="1:14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1898</v>
      </c>
      <c r="H14" s="168">
        <v>0.5</v>
      </c>
      <c r="I14" s="323">
        <f>IF('FR 07007'!$H14&lt;&gt;"",'FR 07007'!$D14*'FR 07007'!$F14*'FR 07007'!$H14,'FR 07007'!$D14*'FR 07007'!$F14)</f>
        <v>0.65</v>
      </c>
    </row>
    <row r="15" spans="1:14" ht="28.8" x14ac:dyDescent="0.3">
      <c r="A15" s="168">
        <v>20</v>
      </c>
      <c r="B15" s="180" t="s">
        <v>609</v>
      </c>
      <c r="C15" s="193" t="s">
        <v>1888</v>
      </c>
      <c r="D15" s="323">
        <v>0.04</v>
      </c>
      <c r="E15" s="168" t="s">
        <v>610</v>
      </c>
      <c r="F15" s="168">
        <v>42</v>
      </c>
      <c r="G15" s="184" t="s">
        <v>710</v>
      </c>
      <c r="H15" s="168">
        <v>1</v>
      </c>
      <c r="I15" s="323">
        <f>IF('FR 07007'!$H15&lt;&gt;"",'FR 07007'!$D15*'FR 07007'!$F15*'FR 07007'!$H15,'FR 07007'!$D15*'FR 07007'!$F15)</f>
        <v>1.68</v>
      </c>
    </row>
    <row r="16" spans="1:14" ht="28.8" x14ac:dyDescent="0.3">
      <c r="A16" s="168">
        <v>30</v>
      </c>
      <c r="B16" s="180" t="s">
        <v>791</v>
      </c>
      <c r="C16" s="171"/>
      <c r="D16" s="323">
        <v>0.35</v>
      </c>
      <c r="E16" s="168" t="s">
        <v>843</v>
      </c>
      <c r="F16" s="168">
        <v>3</v>
      </c>
      <c r="G16" s="168"/>
      <c r="H16" s="168"/>
      <c r="I16" s="323">
        <f>IF('FR 07007'!$H16&lt;&gt;"",'FR 07007'!$D16*'FR 07007'!$F16*'FR 07007'!$H16,'FR 07007'!$D16*'FR 07007'!$F16)</f>
        <v>1.0499999999999998</v>
      </c>
    </row>
    <row r="17" spans="1:14" ht="28.8" x14ac:dyDescent="0.3">
      <c r="A17" s="168">
        <v>40</v>
      </c>
      <c r="B17" s="180" t="s">
        <v>862</v>
      </c>
      <c r="C17" s="171"/>
      <c r="D17" s="323">
        <v>0.1</v>
      </c>
      <c r="E17" s="168" t="s">
        <v>593</v>
      </c>
      <c r="F17" s="168">
        <v>3.2</v>
      </c>
      <c r="G17" s="168"/>
      <c r="H17" s="168"/>
      <c r="I17" s="323">
        <f>IF('FR 07007'!$H17&lt;&gt;"",'FR 07007'!$D17*'FR 07007'!$F17*'FR 07007'!$H17,'FR 07007'!$D17*'FR 07007'!$F17)</f>
        <v>0.32000000000000006</v>
      </c>
    </row>
    <row r="18" spans="1:14" s="178" customFormat="1" x14ac:dyDescent="0.3">
      <c r="H18" s="620" t="s">
        <v>547</v>
      </c>
      <c r="I18" s="619">
        <f>SUM(I14:I17)</f>
        <v>3.7</v>
      </c>
      <c r="J18" s="161"/>
      <c r="K18" s="161"/>
      <c r="L18" s="161"/>
      <c r="M18" s="161"/>
      <c r="N18" s="161"/>
    </row>
    <row r="20" spans="1:14" s="178" customFormat="1" x14ac:dyDescent="0.3">
      <c r="A20" s="161"/>
      <c r="B20" s="161"/>
      <c r="C20" s="161"/>
      <c r="D20" s="161"/>
      <c r="E20" s="161"/>
      <c r="F20" s="161"/>
      <c r="G20" s="161"/>
      <c r="H20" s="161"/>
      <c r="I20" s="161"/>
      <c r="J20" s="161"/>
      <c r="K20" s="161"/>
      <c r="L20" s="161"/>
      <c r="M20" s="161"/>
      <c r="N20" s="161"/>
    </row>
    <row r="21" spans="1:14" x14ac:dyDescent="0.3">
      <c r="J21" s="178"/>
    </row>
    <row r="22" spans="1:14" x14ac:dyDescent="0.3">
      <c r="K22" s="178"/>
      <c r="L22" s="178"/>
      <c r="M22" s="178"/>
      <c r="N22" s="178"/>
    </row>
    <row r="24" spans="1:14" x14ac:dyDescent="0.3">
      <c r="K24" s="178"/>
      <c r="L24" s="178"/>
      <c r="M24" s="178"/>
      <c r="N24" s="178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  <c r="L31" s="161"/>
      <c r="M31" s="161"/>
      <c r="N31" s="161"/>
    </row>
    <row r="33" spans="1:14" x14ac:dyDescent="0.3">
      <c r="K33" s="178"/>
      <c r="L33" s="178"/>
      <c r="M33" s="178"/>
      <c r="N33" s="178"/>
    </row>
    <row r="35" spans="1:14" x14ac:dyDescent="0.3">
      <c r="K35" s="178"/>
      <c r="L35" s="178"/>
      <c r="M35" s="178"/>
      <c r="N35" s="178"/>
    </row>
    <row r="38" spans="1:14" x14ac:dyDescent="0.3">
      <c r="K38" s="178"/>
      <c r="L38" s="178"/>
      <c r="M38" s="178"/>
      <c r="N38" s="178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2" spans="1:14" s="178" customFormat="1" x14ac:dyDescent="0.3">
      <c r="A42" s="161"/>
      <c r="B42" s="161"/>
      <c r="C42" s="161"/>
      <c r="D42" s="161"/>
      <c r="E42" s="161"/>
      <c r="F42" s="161"/>
      <c r="G42" s="161"/>
      <c r="H42" s="161"/>
      <c r="I42" s="161"/>
      <c r="J42" s="161"/>
      <c r="K42" s="161"/>
      <c r="L42" s="161"/>
      <c r="M42" s="161"/>
      <c r="N42" s="161"/>
    </row>
    <row r="45" spans="1:14" s="178" customFormat="1" x14ac:dyDescent="0.3">
      <c r="A45" s="161"/>
      <c r="B45" s="161"/>
      <c r="C45" s="161"/>
      <c r="D45" s="161"/>
      <c r="E45" s="161"/>
      <c r="F45" s="161"/>
      <c r="G45" s="161"/>
      <c r="H45" s="161"/>
      <c r="I45" s="161"/>
      <c r="J45" s="161"/>
      <c r="K45" s="161"/>
      <c r="L45" s="161"/>
      <c r="M45" s="161"/>
      <c r="N45" s="161"/>
    </row>
  </sheetData>
  <pageMargins left="0.7" right="0.7" top="0.75" bottom="0.75" header="0.3" footer="0.3"/>
  <pageSetup paperSize="9" scale="60" orientation="landscape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8"/>
  <sheetViews>
    <sheetView showGridLines="0" workbookViewId="0"/>
  </sheetViews>
  <sheetFormatPr defaultColWidth="11.44140625" defaultRowHeight="14.4" x14ac:dyDescent="0.3"/>
  <cols>
    <col min="1" max="1" width="11.44140625" style="196"/>
    <col min="2" max="2" width="29" style="196" customWidth="1"/>
    <col min="3" max="3" width="36" style="196" customWidth="1"/>
    <col min="4" max="6" width="11.44140625" style="196"/>
    <col min="7" max="7" width="20.109375" style="196" customWidth="1"/>
    <col min="8" max="8" width="11.44140625" style="196"/>
    <col min="9" max="9" width="17.109375" style="196" customWidth="1"/>
    <col min="10" max="12" width="11.44140625" style="196"/>
    <col min="13" max="13" width="19.109375" style="196" customWidth="1"/>
    <col min="14" max="16384" width="11.44140625" style="196"/>
  </cols>
  <sheetData>
    <row r="1" spans="1:14" x14ac:dyDescent="0.3">
      <c r="A1" s="294" t="s">
        <v>523</v>
      </c>
      <c r="B1" s="248" t="s">
        <v>524</v>
      </c>
      <c r="J1" s="295" t="s">
        <v>528</v>
      </c>
      <c r="K1" s="250">
        <v>81</v>
      </c>
      <c r="M1" s="294" t="s">
        <v>546</v>
      </c>
      <c r="N1" s="251">
        <f>N11+I17</f>
        <v>2.0579999999999998</v>
      </c>
    </row>
    <row r="2" spans="1:14" x14ac:dyDescent="0.3">
      <c r="A2" s="294" t="s">
        <v>532</v>
      </c>
      <c r="B2" s="248" t="s">
        <v>578</v>
      </c>
      <c r="D2" s="294" t="s">
        <v>536</v>
      </c>
      <c r="M2" s="294" t="s">
        <v>533</v>
      </c>
      <c r="N2" s="296">
        <v>1</v>
      </c>
    </row>
    <row r="3" spans="1:14" x14ac:dyDescent="0.3">
      <c r="A3" s="294" t="s">
        <v>534</v>
      </c>
      <c r="B3" s="196" t="s">
        <v>622</v>
      </c>
      <c r="D3" s="294" t="s">
        <v>538</v>
      </c>
      <c r="J3" s="294" t="s">
        <v>536</v>
      </c>
    </row>
    <row r="4" spans="1:14" x14ac:dyDescent="0.3">
      <c r="A4" s="294" t="s">
        <v>545</v>
      </c>
      <c r="B4" s="196" t="s">
        <v>57</v>
      </c>
      <c r="D4" s="294" t="s">
        <v>541</v>
      </c>
      <c r="J4" s="294" t="s">
        <v>538</v>
      </c>
      <c r="M4" s="294" t="s">
        <v>539</v>
      </c>
      <c r="N4" s="251">
        <f>N2*N1</f>
        <v>2.0579999999999998</v>
      </c>
    </row>
    <row r="5" spans="1:14" x14ac:dyDescent="0.3">
      <c r="A5" s="294" t="s">
        <v>537</v>
      </c>
      <c r="B5" s="297" t="s">
        <v>56</v>
      </c>
      <c r="J5" s="294" t="s">
        <v>541</v>
      </c>
    </row>
    <row r="6" spans="1:14" x14ac:dyDescent="0.3">
      <c r="A6" s="294" t="s">
        <v>540</v>
      </c>
      <c r="B6" s="248" t="s">
        <v>36</v>
      </c>
    </row>
    <row r="7" spans="1:14" x14ac:dyDescent="0.3">
      <c r="A7" s="298" t="s">
        <v>542</v>
      </c>
      <c r="B7" s="196" t="s">
        <v>696</v>
      </c>
    </row>
    <row r="8" spans="1:14" x14ac:dyDescent="0.3">
      <c r="A8" s="299"/>
      <c r="B8" s="299"/>
      <c r="C8" s="299"/>
      <c r="D8" s="299"/>
      <c r="E8" s="299"/>
    </row>
    <row r="9" spans="1:14" x14ac:dyDescent="0.3">
      <c r="A9" s="300" t="s">
        <v>544</v>
      </c>
      <c r="B9" s="300" t="s">
        <v>581</v>
      </c>
      <c r="C9" s="300" t="s">
        <v>549</v>
      </c>
      <c r="D9" s="300" t="s">
        <v>550</v>
      </c>
      <c r="E9" s="300" t="s">
        <v>567</v>
      </c>
      <c r="F9" s="301" t="s">
        <v>568</v>
      </c>
      <c r="G9" s="301" t="s">
        <v>569</v>
      </c>
      <c r="H9" s="301" t="s">
        <v>570</v>
      </c>
      <c r="I9" s="301" t="s">
        <v>582</v>
      </c>
      <c r="J9" s="301" t="s">
        <v>583</v>
      </c>
      <c r="K9" s="301" t="s">
        <v>584</v>
      </c>
      <c r="L9" s="301" t="s">
        <v>585</v>
      </c>
      <c r="M9" s="301" t="s">
        <v>28</v>
      </c>
      <c r="N9" s="301" t="s">
        <v>547</v>
      </c>
    </row>
    <row r="10" spans="1:14" s="248" customFormat="1" ht="28.8" x14ac:dyDescent="0.3">
      <c r="A10" s="184">
        <v>10</v>
      </c>
      <c r="B10" s="168" t="s">
        <v>697</v>
      </c>
      <c r="C10" s="184" t="s">
        <v>607</v>
      </c>
      <c r="D10" s="302">
        <v>2.25</v>
      </c>
      <c r="E10" s="184">
        <v>50</v>
      </c>
      <c r="F10" s="184" t="s">
        <v>573</v>
      </c>
      <c r="G10" s="184">
        <v>30</v>
      </c>
      <c r="H10" s="268" t="s">
        <v>573</v>
      </c>
      <c r="I10" s="269" t="s">
        <v>698</v>
      </c>
      <c r="J10" s="274">
        <f>E10*G10/10000000</f>
        <v>1.4999999999999999E-4</v>
      </c>
      <c r="K10" s="303">
        <v>1E-3</v>
      </c>
      <c r="L10" s="268">
        <v>8010</v>
      </c>
      <c r="M10" s="271">
        <v>1</v>
      </c>
      <c r="N10" s="260">
        <v>0.01</v>
      </c>
    </row>
    <row r="11" spans="1:14" x14ac:dyDescent="0.3">
      <c r="A11" s="278"/>
      <c r="B11" s="278"/>
      <c r="C11" s="278"/>
      <c r="D11" s="278"/>
      <c r="E11" s="278"/>
      <c r="F11" s="278"/>
      <c r="G11" s="278"/>
      <c r="H11" s="278"/>
      <c r="I11" s="278"/>
      <c r="J11" s="278"/>
      <c r="K11" s="278"/>
      <c r="L11" s="278"/>
      <c r="M11" s="304" t="s">
        <v>547</v>
      </c>
      <c r="N11" s="305">
        <f>N10</f>
        <v>0.01</v>
      </c>
    </row>
    <row r="13" spans="1:14" x14ac:dyDescent="0.3">
      <c r="A13" s="301" t="s">
        <v>544</v>
      </c>
      <c r="B13" s="301" t="s">
        <v>548</v>
      </c>
      <c r="C13" s="301" t="s">
        <v>549</v>
      </c>
      <c r="D13" s="301" t="s">
        <v>550</v>
      </c>
      <c r="E13" s="301" t="s">
        <v>551</v>
      </c>
      <c r="F13" s="301" t="s">
        <v>28</v>
      </c>
      <c r="G13" s="301" t="s">
        <v>552</v>
      </c>
      <c r="H13" s="301" t="s">
        <v>553</v>
      </c>
      <c r="I13" s="301" t="s">
        <v>547</v>
      </c>
      <c r="J13" s="278"/>
      <c r="K13" s="278"/>
      <c r="L13" s="278"/>
      <c r="M13" s="278"/>
      <c r="N13" s="278"/>
    </row>
    <row r="14" spans="1:14" s="248" customFormat="1" ht="28.8" x14ac:dyDescent="0.3">
      <c r="A14" s="184">
        <v>10</v>
      </c>
      <c r="B14" s="180" t="s">
        <v>589</v>
      </c>
      <c r="C14" s="184" t="s">
        <v>699</v>
      </c>
      <c r="D14" s="195">
        <v>1.3</v>
      </c>
      <c r="E14" s="184" t="s">
        <v>556</v>
      </c>
      <c r="F14" s="184">
        <v>1</v>
      </c>
      <c r="G14" s="184"/>
      <c r="H14" s="184"/>
      <c r="I14" s="195">
        <f>D14*F14</f>
        <v>1.3</v>
      </c>
    </row>
    <row r="15" spans="1:14" s="248" customFormat="1" x14ac:dyDescent="0.3">
      <c r="A15" s="184">
        <v>20</v>
      </c>
      <c r="B15" s="180" t="s">
        <v>700</v>
      </c>
      <c r="C15" s="193" t="s">
        <v>701</v>
      </c>
      <c r="D15" s="195">
        <v>0.01</v>
      </c>
      <c r="E15" s="184" t="s">
        <v>593</v>
      </c>
      <c r="F15" s="184">
        <v>16.600000000000001</v>
      </c>
      <c r="G15" s="180" t="s">
        <v>598</v>
      </c>
      <c r="H15" s="267">
        <v>3</v>
      </c>
      <c r="I15" s="195">
        <f>D15*F15*H15</f>
        <v>0.498</v>
      </c>
    </row>
    <row r="16" spans="1:14" s="248" customFormat="1" x14ac:dyDescent="0.3">
      <c r="A16" s="184">
        <v>30</v>
      </c>
      <c r="B16" s="180" t="s">
        <v>702</v>
      </c>
      <c r="C16" s="184" t="s">
        <v>703</v>
      </c>
      <c r="D16" s="195">
        <v>0.25</v>
      </c>
      <c r="E16" s="184" t="s">
        <v>704</v>
      </c>
      <c r="F16" s="184">
        <v>1</v>
      </c>
      <c r="G16" s="184"/>
      <c r="H16" s="184"/>
      <c r="I16" s="195">
        <f>D16*F16</f>
        <v>0.25</v>
      </c>
    </row>
    <row r="17" spans="1:14" x14ac:dyDescent="0.3">
      <c r="A17" s="278"/>
      <c r="B17" s="278"/>
      <c r="C17" s="278"/>
      <c r="D17" s="278"/>
      <c r="E17" s="278"/>
      <c r="F17" s="278"/>
      <c r="G17" s="278"/>
      <c r="H17" s="304" t="s">
        <v>547</v>
      </c>
      <c r="I17" s="305">
        <f>SUM(I14:I16)</f>
        <v>2.048</v>
      </c>
      <c r="J17" s="278"/>
      <c r="K17" s="278"/>
      <c r="L17" s="278"/>
      <c r="M17" s="278"/>
      <c r="N17" s="278"/>
    </row>
    <row r="18" spans="1:14" x14ac:dyDescent="0.3">
      <c r="H18" s="292"/>
      <c r="I18" s="293"/>
    </row>
  </sheetData>
  <pageMargins left="0.7" right="0.7" top="0.75" bottom="0.75" header="0.3" footer="0.3"/>
  <pageSetup paperSize="9" scale="58" fitToHeight="0" orientation="landscape" r:id="rId1"/>
</worksheet>
</file>

<file path=xl/worksheets/sheet1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48"/>
  <sheetViews>
    <sheetView showGridLines="0" workbookViewId="0"/>
  </sheetViews>
  <sheetFormatPr defaultColWidth="9.109375" defaultRowHeight="14.4" x14ac:dyDescent="0.3"/>
  <cols>
    <col min="1" max="1" width="15" style="248" bestFit="1" customWidth="1"/>
    <col min="2" max="2" width="20.88671875" style="248" customWidth="1"/>
    <col min="3" max="3" width="25.5546875" style="248" customWidth="1"/>
    <col min="4" max="4" width="13.5546875" style="248" bestFit="1" customWidth="1"/>
    <col min="5" max="5" width="14.109375" style="248" customWidth="1"/>
    <col min="6" max="6" width="12" style="248" bestFit="1" customWidth="1"/>
    <col min="7" max="7" width="15.88671875" style="248" customWidth="1"/>
    <col min="8" max="8" width="13.44140625" style="248" customWidth="1"/>
    <col min="9" max="9" width="15.5546875" style="248" bestFit="1" customWidth="1"/>
    <col min="10" max="10" width="13.88671875" style="248" bestFit="1" customWidth="1"/>
    <col min="11" max="11" width="10.44140625" style="248" bestFit="1" customWidth="1"/>
    <col min="12" max="12" width="11.33203125" style="248" bestFit="1" customWidth="1"/>
    <col min="13" max="13" width="13.88671875" style="248" bestFit="1" customWidth="1"/>
    <col min="14" max="14" width="15" style="248" bestFit="1" customWidth="1"/>
    <col min="15" max="15" width="9.109375" style="248"/>
    <col min="16" max="16" width="9.44140625" style="248" bestFit="1" customWidth="1"/>
    <col min="17" max="18" width="9.109375" style="248"/>
    <col min="19" max="19" width="10.44140625" style="248" bestFit="1" customWidth="1"/>
    <col min="20" max="20" width="9.44140625" style="248" bestFit="1" customWidth="1"/>
    <col min="21" max="21" width="9.109375" style="248"/>
    <col min="22" max="22" width="9.44140625" style="248" bestFit="1" customWidth="1"/>
    <col min="23" max="23" width="9.109375" style="248"/>
    <col min="24" max="25" width="10.109375" style="248" bestFit="1" customWidth="1"/>
    <col min="26" max="28" width="9.33203125" style="248" bestFit="1" customWidth="1"/>
    <col min="29" max="16384" width="9.109375" style="248"/>
  </cols>
  <sheetData>
    <row r="1" spans="1:14" s="311" customFormat="1" x14ac:dyDescent="0.3">
      <c r="A1" s="586" t="s">
        <v>523</v>
      </c>
      <c r="B1" s="311" t="s">
        <v>524</v>
      </c>
      <c r="J1" s="571" t="s">
        <v>528</v>
      </c>
      <c r="K1" s="163">
        <v>81</v>
      </c>
      <c r="M1" s="586" t="s">
        <v>546</v>
      </c>
      <c r="N1" s="424">
        <f>N12+I22+I26</f>
        <v>7.2501913166666663</v>
      </c>
    </row>
    <row r="2" spans="1:14" x14ac:dyDescent="0.3">
      <c r="A2" s="602" t="s">
        <v>532</v>
      </c>
      <c r="B2" s="248" t="s">
        <v>1418</v>
      </c>
      <c r="C2" s="556" t="s">
        <v>732</v>
      </c>
      <c r="D2" s="637" t="s">
        <v>536</v>
      </c>
      <c r="M2" s="602" t="s">
        <v>533</v>
      </c>
      <c r="N2" s="296">
        <v>1</v>
      </c>
    </row>
    <row r="3" spans="1:14" x14ac:dyDescent="0.3">
      <c r="A3" s="602" t="s">
        <v>534</v>
      </c>
      <c r="B3" s="248" t="s">
        <v>256</v>
      </c>
      <c r="D3" s="602" t="s">
        <v>538</v>
      </c>
      <c r="J3" s="602" t="s">
        <v>536</v>
      </c>
    </row>
    <row r="4" spans="1:14" x14ac:dyDescent="0.3">
      <c r="A4" s="602" t="s">
        <v>545</v>
      </c>
      <c r="B4" s="248" t="s">
        <v>1845</v>
      </c>
      <c r="D4" s="602" t="s">
        <v>541</v>
      </c>
      <c r="J4" s="602" t="s">
        <v>538</v>
      </c>
      <c r="M4" s="602" t="s">
        <v>539</v>
      </c>
      <c r="N4" s="364">
        <f>N1*N2</f>
        <v>7.2501913166666663</v>
      </c>
    </row>
    <row r="5" spans="1:14" x14ac:dyDescent="0.3">
      <c r="A5" s="602" t="s">
        <v>537</v>
      </c>
      <c r="B5" s="604" t="s">
        <v>275</v>
      </c>
      <c r="J5" s="602" t="s">
        <v>541</v>
      </c>
    </row>
    <row r="6" spans="1:14" x14ac:dyDescent="0.3">
      <c r="A6" s="602" t="s">
        <v>540</v>
      </c>
      <c r="B6" s="248" t="s">
        <v>36</v>
      </c>
    </row>
    <row r="7" spans="1:14" x14ac:dyDescent="0.3">
      <c r="A7" s="602" t="s">
        <v>542</v>
      </c>
    </row>
    <row r="9" spans="1:14" s="2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ht="28.8" x14ac:dyDescent="0.3">
      <c r="A10" s="184">
        <v>10</v>
      </c>
      <c r="B10" s="190" t="s">
        <v>606</v>
      </c>
      <c r="C10" s="184" t="s">
        <v>1889</v>
      </c>
      <c r="D10" s="362">
        <v>2.25</v>
      </c>
      <c r="E10" s="184">
        <v>2.5999999999999999E-2</v>
      </c>
      <c r="F10" s="184" t="s">
        <v>644</v>
      </c>
      <c r="G10" s="184">
        <v>2.1999999999999999E-2</v>
      </c>
      <c r="H10" s="268" t="s">
        <v>644</v>
      </c>
      <c r="I10" s="269" t="s">
        <v>1890</v>
      </c>
      <c r="J10" s="635">
        <f>E10*G10</f>
        <v>5.7199999999999992E-4</v>
      </c>
      <c r="K10" s="268">
        <v>1.7000000000000001E-2</v>
      </c>
      <c r="L10" s="268">
        <v>7860</v>
      </c>
      <c r="M10" s="184">
        <v>1</v>
      </c>
      <c r="N10" s="363">
        <f>IF(J10="",D10*M10,D10*J10*K10*L10*M10)</f>
        <v>0.17196893999999999</v>
      </c>
    </row>
    <row r="11" spans="1:14" ht="28.8" x14ac:dyDescent="0.3">
      <c r="A11" s="184">
        <v>20</v>
      </c>
      <c r="B11" s="190" t="s">
        <v>606</v>
      </c>
      <c r="C11" s="184" t="s">
        <v>1891</v>
      </c>
      <c r="D11" s="362">
        <v>2.25</v>
      </c>
      <c r="E11" s="184">
        <v>7.9000000000000001E-2</v>
      </c>
      <c r="F11" s="184" t="s">
        <v>644</v>
      </c>
      <c r="G11" s="184">
        <v>2.1999999999999999E-2</v>
      </c>
      <c r="H11" s="268" t="s">
        <v>644</v>
      </c>
      <c r="I11" s="269" t="s">
        <v>1892</v>
      </c>
      <c r="J11" s="635">
        <f>E11*G11</f>
        <v>1.738E-3</v>
      </c>
      <c r="K11" s="268">
        <v>7.0000000000000001E-3</v>
      </c>
      <c r="L11" s="268">
        <v>7860</v>
      </c>
      <c r="M11" s="184">
        <v>1</v>
      </c>
      <c r="N11" s="363">
        <f>IF(J11="",D11*M11,D11*J11*K11*L11*M11)</f>
        <v>0.21515571</v>
      </c>
    </row>
    <row r="12" spans="1:14" x14ac:dyDescent="0.3">
      <c r="A12" s="278"/>
      <c r="B12" s="278"/>
      <c r="C12" s="278"/>
      <c r="D12" s="278"/>
      <c r="E12" s="278"/>
      <c r="F12" s="278"/>
      <c r="G12" s="278"/>
      <c r="H12" s="278"/>
      <c r="I12" s="278"/>
      <c r="J12" s="278"/>
      <c r="K12" s="278"/>
      <c r="L12" s="278"/>
      <c r="M12" s="577" t="s">
        <v>547</v>
      </c>
      <c r="N12" s="579">
        <f>SUM(N10:N11)</f>
        <v>0.38712464999999996</v>
      </c>
    </row>
    <row r="14" spans="1:14" x14ac:dyDescent="0.3">
      <c r="A14" s="576" t="s">
        <v>544</v>
      </c>
      <c r="B14" s="576" t="s">
        <v>548</v>
      </c>
      <c r="C14" s="576" t="s">
        <v>549</v>
      </c>
      <c r="D14" s="576" t="s">
        <v>550</v>
      </c>
      <c r="E14" s="576" t="s">
        <v>551</v>
      </c>
      <c r="F14" s="576" t="s">
        <v>28</v>
      </c>
      <c r="G14" s="576" t="s">
        <v>552</v>
      </c>
      <c r="H14" s="576" t="s">
        <v>553</v>
      </c>
      <c r="I14" s="576" t="s">
        <v>547</v>
      </c>
      <c r="J14" s="278"/>
      <c r="K14" s="278"/>
      <c r="L14" s="278"/>
      <c r="M14" s="278"/>
      <c r="N14" s="278"/>
    </row>
    <row r="15" spans="1:14" ht="34.200000000000003" customHeight="1" x14ac:dyDescent="0.3">
      <c r="A15" s="184">
        <v>10</v>
      </c>
      <c r="B15" s="180" t="s">
        <v>589</v>
      </c>
      <c r="C15" s="193"/>
      <c r="D15" s="362">
        <v>1.3</v>
      </c>
      <c r="E15" s="184"/>
      <c r="F15" s="184">
        <v>1</v>
      </c>
      <c r="G15" s="184"/>
      <c r="H15" s="184"/>
      <c r="I15" s="362">
        <f>IF('FR 07008'!$H15&lt;&gt;"",'FR 07008'!$D15*'FR 07008'!$F15*'FR 07008'!$H15,'FR 07008'!$D15*'FR 07008'!$F15)</f>
        <v>1.3</v>
      </c>
    </row>
    <row r="16" spans="1:14" x14ac:dyDescent="0.3">
      <c r="A16" s="184">
        <v>20</v>
      </c>
      <c r="B16" s="180" t="s">
        <v>609</v>
      </c>
      <c r="C16" s="193" t="s">
        <v>1893</v>
      </c>
      <c r="D16" s="362">
        <v>0.04</v>
      </c>
      <c r="E16" s="184" t="s">
        <v>610</v>
      </c>
      <c r="F16" s="184">
        <v>4.0199999999999996</v>
      </c>
      <c r="G16" s="184" t="s">
        <v>598</v>
      </c>
      <c r="H16" s="184">
        <v>3</v>
      </c>
      <c r="I16" s="362">
        <f>IF('FR 07008'!$H16&lt;&gt;"",'FR 07008'!$D16*'FR 07008'!$F16*'FR 07008'!$H16,'FR 07008'!$D16*'FR 07008'!$F16)</f>
        <v>0.4824</v>
      </c>
    </row>
    <row r="17" spans="1:14" s="311" customFormat="1" ht="13.2" customHeight="1" x14ac:dyDescent="0.3">
      <c r="A17" s="183">
        <v>30</v>
      </c>
      <c r="B17" s="285" t="s">
        <v>1894</v>
      </c>
      <c r="C17" s="414" t="s">
        <v>1895</v>
      </c>
      <c r="D17" s="241">
        <v>0.5</v>
      </c>
      <c r="E17" s="183" t="s">
        <v>593</v>
      </c>
      <c r="F17" s="183">
        <v>2</v>
      </c>
      <c r="G17" s="183"/>
      <c r="H17" s="183"/>
      <c r="I17" s="241">
        <f>IF('FR 07008'!$H17&lt;&gt;"",'FR 07008'!$D17*'FR 07008'!$F17*'FR 07008'!$H17,'FR 07008'!$D17*'FR 07008'!$F17)</f>
        <v>1</v>
      </c>
    </row>
    <row r="18" spans="1:14" ht="28.8" x14ac:dyDescent="0.3">
      <c r="A18" s="184">
        <v>40</v>
      </c>
      <c r="B18" s="180" t="s">
        <v>862</v>
      </c>
      <c r="C18" s="193"/>
      <c r="D18" s="362">
        <v>0.1</v>
      </c>
      <c r="E18" s="184" t="s">
        <v>593</v>
      </c>
      <c r="F18" s="184">
        <v>2</v>
      </c>
      <c r="G18" s="184"/>
      <c r="H18" s="184"/>
      <c r="I18" s="362">
        <f>IF('FR 07008'!$H18&lt;&gt;"",'FR 07008'!$D18*'FR 07008'!$F18*'FR 07008'!$H18,'FR 07008'!$D18*'FR 07008'!$F18)</f>
        <v>0.2</v>
      </c>
    </row>
    <row r="19" spans="1:14" ht="31.95" customHeight="1" x14ac:dyDescent="0.3">
      <c r="A19" s="184">
        <v>50</v>
      </c>
      <c r="B19" s="180" t="s">
        <v>589</v>
      </c>
      <c r="C19" s="193"/>
      <c r="D19" s="362">
        <v>1.3</v>
      </c>
      <c r="E19" s="184"/>
      <c r="F19" s="184">
        <v>1</v>
      </c>
      <c r="G19" s="184"/>
      <c r="H19" s="184"/>
      <c r="I19" s="362">
        <f>IF('FR 07008'!$H19&lt;&gt;"",'FR 07008'!$D19*'FR 07008'!$F19*'FR 07008'!$H19,'FR 07008'!$D19*'FR 07008'!$F19)</f>
        <v>1.3</v>
      </c>
    </row>
    <row r="20" spans="1:14" s="278" customFormat="1" x14ac:dyDescent="0.3">
      <c r="A20" s="184">
        <v>60</v>
      </c>
      <c r="B20" s="180" t="s">
        <v>591</v>
      </c>
      <c r="C20" s="193" t="s">
        <v>1896</v>
      </c>
      <c r="D20" s="362">
        <v>0.01</v>
      </c>
      <c r="E20" s="184" t="s">
        <v>593</v>
      </c>
      <c r="F20" s="184">
        <v>28.8</v>
      </c>
      <c r="G20" s="184" t="s">
        <v>598</v>
      </c>
      <c r="H20" s="184">
        <v>3</v>
      </c>
      <c r="I20" s="362">
        <f>IF('FR 07008'!$H20&lt;&gt;"",'FR 07008'!$D20*'FR 07008'!$F20*'FR 07008'!$H20,'FR 07008'!$D20*'FR 07008'!$F20)</f>
        <v>0.8640000000000001</v>
      </c>
      <c r="J20" s="248"/>
      <c r="K20" s="248"/>
      <c r="L20" s="248"/>
      <c r="M20" s="248"/>
      <c r="N20" s="248"/>
    </row>
    <row r="21" spans="1:14" s="278" customFormat="1" x14ac:dyDescent="0.3">
      <c r="A21" s="184">
        <v>70</v>
      </c>
      <c r="B21" s="193" t="s">
        <v>650</v>
      </c>
      <c r="C21" s="193" t="s">
        <v>1897</v>
      </c>
      <c r="D21" s="362">
        <v>0.15</v>
      </c>
      <c r="E21" s="184" t="s">
        <v>593</v>
      </c>
      <c r="F21" s="184">
        <v>7</v>
      </c>
      <c r="G21" s="184"/>
      <c r="H21" s="184"/>
      <c r="I21" s="362">
        <f>IF('FR 07008'!$H21&lt;&gt;"",'FR 07008'!$D21*'FR 07008'!$F21*'FR 07008'!$H21,'FR 07008'!$D21*'FR 07008'!$F21)</f>
        <v>1.05</v>
      </c>
      <c r="J21" s="248"/>
      <c r="K21" s="248"/>
      <c r="L21" s="248"/>
      <c r="M21" s="248"/>
      <c r="N21" s="289"/>
    </row>
    <row r="22" spans="1:14" x14ac:dyDescent="0.3">
      <c r="A22" s="278"/>
      <c r="B22" s="278"/>
      <c r="C22" s="278"/>
      <c r="D22" s="278"/>
      <c r="E22" s="278"/>
      <c r="F22" s="278"/>
      <c r="G22" s="278"/>
      <c r="H22" s="577" t="s">
        <v>547</v>
      </c>
      <c r="I22" s="579">
        <f>SUM(I15:I21)</f>
        <v>6.1963999999999997</v>
      </c>
    </row>
    <row r="23" spans="1:14" s="278" customFormat="1" x14ac:dyDescent="0.3">
      <c r="A23" s="248"/>
      <c r="B23" s="248"/>
      <c r="C23" s="248"/>
      <c r="D23" s="248"/>
      <c r="E23" s="248"/>
      <c r="F23" s="248"/>
      <c r="G23" s="248"/>
      <c r="H23" s="292"/>
      <c r="I23" s="293"/>
      <c r="J23" s="248"/>
      <c r="K23" s="248"/>
      <c r="L23" s="248"/>
      <c r="M23" s="248"/>
      <c r="N23" s="248"/>
    </row>
    <row r="24" spans="1:14" x14ac:dyDescent="0.3">
      <c r="A24" s="576" t="s">
        <v>544</v>
      </c>
      <c r="B24" s="576" t="s">
        <v>6</v>
      </c>
      <c r="C24" s="576" t="s">
        <v>549</v>
      </c>
      <c r="D24" s="576" t="s">
        <v>550</v>
      </c>
      <c r="E24" s="576" t="s">
        <v>551</v>
      </c>
      <c r="F24" s="576" t="s">
        <v>28</v>
      </c>
      <c r="G24" s="576" t="s">
        <v>691</v>
      </c>
      <c r="H24" s="576" t="s">
        <v>692</v>
      </c>
      <c r="I24" s="576" t="s">
        <v>547</v>
      </c>
    </row>
    <row r="25" spans="1:14" x14ac:dyDescent="0.3">
      <c r="A25" s="184">
        <v>10</v>
      </c>
      <c r="B25" s="272" t="s">
        <v>693</v>
      </c>
      <c r="C25" s="184"/>
      <c r="D25" s="362">
        <v>500</v>
      </c>
      <c r="E25" s="184" t="s">
        <v>695</v>
      </c>
      <c r="F25" s="184">
        <v>4</v>
      </c>
      <c r="G25" s="184">
        <v>3000</v>
      </c>
      <c r="H25" s="184">
        <v>1</v>
      </c>
      <c r="I25" s="362">
        <f>D25*F25/G25*H25</f>
        <v>0.66666666666666663</v>
      </c>
    </row>
    <row r="26" spans="1:14" x14ac:dyDescent="0.3">
      <c r="A26" s="278"/>
      <c r="B26" s="278"/>
      <c r="C26" s="278"/>
      <c r="D26" s="278"/>
      <c r="E26" s="278"/>
      <c r="F26" s="278"/>
      <c r="G26" s="278"/>
      <c r="H26" s="577" t="s">
        <v>547</v>
      </c>
      <c r="I26" s="579">
        <f>SUM(I25:I25)</f>
        <v>0.66666666666666663</v>
      </c>
      <c r="J26" s="278"/>
      <c r="K26" s="278"/>
      <c r="L26" s="278"/>
      <c r="M26" s="278"/>
      <c r="N26" s="278"/>
    </row>
    <row r="27" spans="1:14" x14ac:dyDescent="0.3">
      <c r="I27" s="293"/>
    </row>
    <row r="28" spans="1:14" x14ac:dyDescent="0.3">
      <c r="J28" s="278"/>
      <c r="K28" s="278"/>
      <c r="L28" s="278"/>
      <c r="M28" s="278"/>
      <c r="N28" s="278"/>
    </row>
    <row r="31" spans="1:14" x14ac:dyDescent="0.3">
      <c r="J31" s="278"/>
    </row>
    <row r="32" spans="1:14" s="278" customFormat="1" x14ac:dyDescent="0.3">
      <c r="A32" s="248"/>
      <c r="B32" s="248"/>
      <c r="C32" s="248"/>
      <c r="D32" s="248"/>
      <c r="E32" s="248"/>
      <c r="F32" s="248"/>
      <c r="G32" s="248"/>
      <c r="H32" s="248"/>
      <c r="I32" s="248"/>
      <c r="J32" s="248"/>
      <c r="K32" s="248"/>
      <c r="L32" s="248"/>
      <c r="M32" s="248"/>
      <c r="N32" s="248"/>
    </row>
    <row r="34" spans="1:14" s="278" customFormat="1" x14ac:dyDescent="0.3">
      <c r="A34" s="248"/>
      <c r="B34" s="248"/>
      <c r="C34" s="248"/>
      <c r="D34" s="248"/>
      <c r="E34" s="248"/>
      <c r="F34" s="248"/>
      <c r="G34" s="248"/>
      <c r="H34" s="248"/>
      <c r="I34" s="248"/>
      <c r="J34" s="248"/>
      <c r="K34" s="248"/>
      <c r="L34" s="248"/>
      <c r="M34" s="248"/>
      <c r="N34" s="248"/>
    </row>
    <row r="37" spans="1:14" x14ac:dyDescent="0.3">
      <c r="K37" s="278"/>
      <c r="L37" s="278"/>
      <c r="M37" s="278"/>
      <c r="N37" s="278"/>
    </row>
    <row r="39" spans="1:14" x14ac:dyDescent="0.3">
      <c r="K39" s="278"/>
      <c r="L39" s="278"/>
      <c r="M39" s="278"/>
      <c r="N39" s="278"/>
    </row>
    <row r="42" spans="1:14" x14ac:dyDescent="0.3">
      <c r="K42" s="278"/>
      <c r="L42" s="278"/>
      <c r="M42" s="278"/>
      <c r="N42" s="278"/>
    </row>
    <row r="43" spans="1:14" s="278" customFormat="1" x14ac:dyDescent="0.3">
      <c r="A43" s="248"/>
      <c r="B43" s="248"/>
      <c r="C43" s="248"/>
      <c r="D43" s="248"/>
      <c r="E43" s="248"/>
      <c r="F43" s="248"/>
      <c r="G43" s="248"/>
      <c r="H43" s="248"/>
      <c r="I43" s="248"/>
      <c r="J43" s="248"/>
      <c r="K43" s="248"/>
      <c r="L43" s="248"/>
      <c r="M43" s="248"/>
      <c r="N43" s="248"/>
    </row>
    <row r="45" spans="1:14" s="278" customFormat="1" x14ac:dyDescent="0.3">
      <c r="A45" s="248"/>
      <c r="B45" s="248"/>
      <c r="C45" s="248"/>
      <c r="D45" s="248"/>
      <c r="E45" s="248"/>
      <c r="F45" s="248"/>
      <c r="G45" s="248"/>
      <c r="H45" s="248"/>
      <c r="I45" s="248"/>
      <c r="J45" s="248"/>
      <c r="K45" s="248"/>
      <c r="L45" s="248"/>
      <c r="M45" s="248"/>
      <c r="N45" s="248"/>
    </row>
    <row r="48" spans="1:14" s="278" customFormat="1" x14ac:dyDescent="0.3">
      <c r="A48" s="248"/>
      <c r="B48" s="248"/>
      <c r="C48" s="248"/>
      <c r="D48" s="248"/>
      <c r="E48" s="248"/>
      <c r="F48" s="248"/>
      <c r="G48" s="248"/>
      <c r="H48" s="248"/>
      <c r="I48" s="248"/>
      <c r="J48" s="248"/>
      <c r="K48" s="248"/>
      <c r="L48" s="248"/>
      <c r="M48" s="248"/>
      <c r="N48" s="248"/>
    </row>
  </sheetData>
  <hyperlinks>
    <hyperlink ref="D2" location="'Shift lever drawing'!A1" display="FileLink1"/>
  </hyperlinks>
  <pageMargins left="0.7" right="0.7" top="0.75" bottom="0.75" header="0.3" footer="0.3"/>
  <pageSetup paperSize="9" scale="62" orientation="landscape" r:id="rId1"/>
</worksheet>
</file>

<file path=xl/worksheets/sheet1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33CC"/>
    <pageSetUpPr fitToPage="1"/>
  </sheetPr>
  <dimension ref="A1:N66"/>
  <sheetViews>
    <sheetView showGridLines="0" zoomScale="85" zoomScaleNormal="85" workbookViewId="0"/>
  </sheetViews>
  <sheetFormatPr defaultColWidth="9.109375" defaultRowHeight="14.4" x14ac:dyDescent="0.3"/>
  <cols>
    <col min="1" max="1" width="11" style="248" customWidth="1"/>
    <col min="2" max="2" width="41.6640625" style="248" customWidth="1"/>
    <col min="3" max="3" width="31.44140625" style="248" customWidth="1"/>
    <col min="4" max="4" width="11.44140625" style="248" bestFit="1" customWidth="1"/>
    <col min="5" max="5" width="13.109375" style="248" customWidth="1"/>
    <col min="6" max="6" width="10" style="248" customWidth="1"/>
    <col min="7" max="7" width="10.44140625" style="248" bestFit="1" customWidth="1"/>
    <col min="8" max="8" width="16.109375" style="248" customWidth="1"/>
    <col min="9" max="9" width="17.6640625" style="248" customWidth="1"/>
    <col min="10" max="10" width="11.33203125" style="248" customWidth="1"/>
    <col min="11" max="11" width="9.44140625" style="248" bestFit="1" customWidth="1"/>
    <col min="12" max="12" width="9.33203125" style="248" bestFit="1" customWidth="1"/>
    <col min="13" max="13" width="14.5546875" style="248" customWidth="1"/>
    <col min="14" max="14" width="11.6640625" style="248" customWidth="1"/>
    <col min="15" max="16384" width="9.109375" style="248"/>
  </cols>
  <sheetData>
    <row r="1" spans="1:14" x14ac:dyDescent="0.3">
      <c r="A1" s="581" t="s">
        <v>523</v>
      </c>
      <c r="B1" s="248" t="s">
        <v>524</v>
      </c>
      <c r="J1" s="581" t="s">
        <v>528</v>
      </c>
      <c r="K1" s="250">
        <v>81</v>
      </c>
      <c r="M1" s="581" t="s">
        <v>531</v>
      </c>
      <c r="N1" s="364">
        <f>E28+N32+I50+J62+I66</f>
        <v>2527.3284300458054</v>
      </c>
    </row>
    <row r="2" spans="1:14" x14ac:dyDescent="0.3">
      <c r="A2" s="581" t="s">
        <v>532</v>
      </c>
      <c r="B2" s="248" t="s">
        <v>1418</v>
      </c>
      <c r="M2" s="581" t="s">
        <v>533</v>
      </c>
      <c r="N2" s="296">
        <v>1</v>
      </c>
    </row>
    <row r="3" spans="1:14" x14ac:dyDescent="0.3">
      <c r="A3" s="581" t="s">
        <v>534</v>
      </c>
      <c r="B3" s="248" t="s">
        <v>261</v>
      </c>
      <c r="J3" s="581" t="s">
        <v>536</v>
      </c>
    </row>
    <row r="4" spans="1:14" x14ac:dyDescent="0.3">
      <c r="A4" s="581" t="s">
        <v>537</v>
      </c>
      <c r="B4" s="319" t="s">
        <v>1899</v>
      </c>
      <c r="J4" s="581" t="s">
        <v>538</v>
      </c>
      <c r="M4" s="581" t="s">
        <v>539</v>
      </c>
      <c r="N4" s="364">
        <f>N1*N2</f>
        <v>2527.3284300458054</v>
      </c>
    </row>
    <row r="5" spans="1:14" x14ac:dyDescent="0.3">
      <c r="A5" s="581" t="s">
        <v>540</v>
      </c>
      <c r="B5" s="248" t="s">
        <v>36</v>
      </c>
      <c r="J5" s="581" t="s">
        <v>541</v>
      </c>
    </row>
    <row r="6" spans="1:14" x14ac:dyDescent="0.3">
      <c r="A6" s="581" t="s">
        <v>542</v>
      </c>
      <c r="B6" s="248" t="s">
        <v>1900</v>
      </c>
    </row>
    <row r="8" spans="1:14" x14ac:dyDescent="0.3">
      <c r="A8" s="638" t="s">
        <v>544</v>
      </c>
      <c r="B8" s="638" t="s">
        <v>545</v>
      </c>
      <c r="C8" s="638" t="s">
        <v>546</v>
      </c>
      <c r="D8" s="638" t="s">
        <v>28</v>
      </c>
      <c r="E8" s="638" t="s">
        <v>547</v>
      </c>
    </row>
    <row r="9" spans="1:14" x14ac:dyDescent="0.3">
      <c r="A9" s="184">
        <v>10</v>
      </c>
      <c r="B9" s="184" t="s">
        <v>261</v>
      </c>
      <c r="C9" s="362">
        <f>'FR 08001'!N1</f>
        <v>2322.0333333333338</v>
      </c>
      <c r="D9" s="184">
        <v>1</v>
      </c>
      <c r="E9" s="362">
        <f t="shared" ref="E9:E27" si="0">C9*D9</f>
        <v>2322.0333333333338</v>
      </c>
    </row>
    <row r="10" spans="1:14" x14ac:dyDescent="0.3">
      <c r="A10" s="184">
        <v>20</v>
      </c>
      <c r="B10" s="184" t="s">
        <v>264</v>
      </c>
      <c r="C10" s="362">
        <f>'FR 08002'!N1</f>
        <v>2.3589330099999999</v>
      </c>
      <c r="D10" s="184">
        <v>2</v>
      </c>
      <c r="E10" s="362">
        <f t="shared" si="0"/>
        <v>4.7178660199999998</v>
      </c>
    </row>
    <row r="11" spans="1:14" x14ac:dyDescent="0.3">
      <c r="A11" s="184">
        <v>30</v>
      </c>
      <c r="B11" s="184" t="s">
        <v>266</v>
      </c>
      <c r="C11" s="362">
        <f>'FR 08003'!N1</f>
        <v>2.2329908500000002</v>
      </c>
      <c r="D11" s="184">
        <v>2</v>
      </c>
      <c r="E11" s="362">
        <f t="shared" si="0"/>
        <v>4.4659817000000004</v>
      </c>
    </row>
    <row r="12" spans="1:14" x14ac:dyDescent="0.3">
      <c r="A12" s="184">
        <v>40</v>
      </c>
      <c r="B12" s="184" t="s">
        <v>268</v>
      </c>
      <c r="C12" s="362">
        <f>'FR 08004'!N1</f>
        <v>2.5346155000000001</v>
      </c>
      <c r="D12" s="184">
        <v>2</v>
      </c>
      <c r="E12" s="362">
        <f t="shared" si="0"/>
        <v>5.0692310000000003</v>
      </c>
    </row>
    <row r="13" spans="1:14" x14ac:dyDescent="0.3">
      <c r="A13" s="184">
        <v>50</v>
      </c>
      <c r="B13" s="184" t="s">
        <v>1901</v>
      </c>
      <c r="C13" s="362">
        <f>'FR 08005'!N1</f>
        <v>6.8294063327318533</v>
      </c>
      <c r="D13" s="184">
        <v>6</v>
      </c>
      <c r="E13" s="362">
        <f t="shared" si="0"/>
        <v>40.97643799639112</v>
      </c>
    </row>
    <row r="14" spans="1:14" x14ac:dyDescent="0.3">
      <c r="A14" s="184">
        <v>60</v>
      </c>
      <c r="B14" s="184" t="s">
        <v>1902</v>
      </c>
      <c r="C14" s="362">
        <f>'FR 08006'!N1</f>
        <v>1.9922267859023564</v>
      </c>
      <c r="D14" s="184">
        <v>6</v>
      </c>
      <c r="E14" s="362">
        <f t="shared" si="0"/>
        <v>11.953360715414139</v>
      </c>
    </row>
    <row r="15" spans="1:14" x14ac:dyDescent="0.3">
      <c r="A15" s="184">
        <v>70</v>
      </c>
      <c r="B15" s="184" t="s">
        <v>270</v>
      </c>
      <c r="C15" s="362">
        <f>'FR 08007'!N1</f>
        <v>2.2379336200000002</v>
      </c>
      <c r="D15" s="184">
        <v>2</v>
      </c>
      <c r="E15" s="362">
        <f t="shared" si="0"/>
        <v>4.4758672400000004</v>
      </c>
    </row>
    <row r="16" spans="1:14" x14ac:dyDescent="0.3">
      <c r="A16" s="184">
        <v>80</v>
      </c>
      <c r="B16" s="184" t="s">
        <v>1903</v>
      </c>
      <c r="C16" s="362">
        <f>'FR 08008'!N1</f>
        <v>2.3255896300000001</v>
      </c>
      <c r="D16" s="184">
        <v>2</v>
      </c>
      <c r="E16" s="362">
        <f t="shared" si="0"/>
        <v>4.6511792600000001</v>
      </c>
    </row>
    <row r="17" spans="1:14" x14ac:dyDescent="0.3">
      <c r="A17" s="184">
        <v>90</v>
      </c>
      <c r="B17" s="184" t="s">
        <v>274</v>
      </c>
      <c r="C17" s="362">
        <f>'FR 08009'!N1</f>
        <v>2.2177053099999999</v>
      </c>
      <c r="D17" s="184">
        <v>2</v>
      </c>
      <c r="E17" s="362">
        <f t="shared" si="0"/>
        <v>4.4354106199999999</v>
      </c>
    </row>
    <row r="18" spans="1:14" x14ac:dyDescent="0.3">
      <c r="A18" s="184">
        <v>100</v>
      </c>
      <c r="B18" s="184" t="s">
        <v>276</v>
      </c>
      <c r="C18" s="362">
        <f>'FR 08010'!N1</f>
        <v>2.2520191600000001</v>
      </c>
      <c r="D18" s="184">
        <v>2</v>
      </c>
      <c r="E18" s="362">
        <f t="shared" si="0"/>
        <v>4.5040383200000003</v>
      </c>
    </row>
    <row r="19" spans="1:14" x14ac:dyDescent="0.3">
      <c r="A19" s="184">
        <v>110</v>
      </c>
      <c r="B19" s="184" t="s">
        <v>277</v>
      </c>
      <c r="C19" s="362">
        <f>'FR 08011'!N1</f>
        <v>2.0969354500000001</v>
      </c>
      <c r="D19" s="184">
        <v>2</v>
      </c>
      <c r="E19" s="362">
        <f t="shared" si="0"/>
        <v>4.1938709000000003</v>
      </c>
    </row>
    <row r="20" spans="1:14" x14ac:dyDescent="0.3">
      <c r="A20" s="184">
        <v>120</v>
      </c>
      <c r="B20" s="184" t="s">
        <v>278</v>
      </c>
      <c r="C20" s="362">
        <f>'FR 08012'!N1</f>
        <v>2.136701977</v>
      </c>
      <c r="D20" s="184">
        <v>2</v>
      </c>
      <c r="E20" s="362">
        <f t="shared" si="0"/>
        <v>4.2734039539999999</v>
      </c>
    </row>
    <row r="21" spans="1:14" x14ac:dyDescent="0.3">
      <c r="A21" s="184">
        <v>130</v>
      </c>
      <c r="B21" s="184" t="s">
        <v>279</v>
      </c>
      <c r="C21" s="362">
        <f>'FR 08013'!N1</f>
        <v>2.1857914599999999</v>
      </c>
      <c r="D21" s="184">
        <v>2</v>
      </c>
      <c r="E21" s="362">
        <f t="shared" si="0"/>
        <v>4.3715829199999998</v>
      </c>
    </row>
    <row r="22" spans="1:14" x14ac:dyDescent="0.3">
      <c r="A22" s="184">
        <v>140</v>
      </c>
      <c r="B22" s="184" t="s">
        <v>280</v>
      </c>
      <c r="C22" s="362">
        <f>'FR 08014'!N1</f>
        <v>2.8570684599999998</v>
      </c>
      <c r="D22" s="184">
        <v>2</v>
      </c>
      <c r="E22" s="362">
        <f t="shared" si="0"/>
        <v>5.7141369199999996</v>
      </c>
    </row>
    <row r="23" spans="1:14" x14ac:dyDescent="0.3">
      <c r="A23" s="184">
        <v>150</v>
      </c>
      <c r="B23" s="184" t="s">
        <v>281</v>
      </c>
      <c r="C23" s="362">
        <f>'FR 08015'!N1</f>
        <v>2.3997601</v>
      </c>
      <c r="D23" s="184">
        <v>2</v>
      </c>
      <c r="E23" s="362">
        <f t="shared" si="0"/>
        <v>4.7995201999999999</v>
      </c>
    </row>
    <row r="24" spans="1:14" x14ac:dyDescent="0.3">
      <c r="A24" s="184">
        <v>160</v>
      </c>
      <c r="B24" s="184" t="s">
        <v>282</v>
      </c>
      <c r="C24" s="362">
        <f>'FR 08016'!N1</f>
        <v>6.1588639033333319</v>
      </c>
      <c r="D24" s="184">
        <v>2</v>
      </c>
      <c r="E24" s="362">
        <f t="shared" si="0"/>
        <v>12.317727806666664</v>
      </c>
    </row>
    <row r="25" spans="1:14" x14ac:dyDescent="0.3">
      <c r="A25" s="184">
        <v>170</v>
      </c>
      <c r="B25" s="184" t="s">
        <v>283</v>
      </c>
      <c r="C25" s="362">
        <f>'FR 08017'!N1</f>
        <v>6.1804639033333331</v>
      </c>
      <c r="D25" s="184">
        <v>2</v>
      </c>
      <c r="E25" s="362">
        <f t="shared" si="0"/>
        <v>12.360927806666666</v>
      </c>
    </row>
    <row r="26" spans="1:14" x14ac:dyDescent="0.3">
      <c r="A26" s="184">
        <v>180</v>
      </c>
      <c r="B26" s="184" t="s">
        <v>1904</v>
      </c>
      <c r="C26" s="362">
        <f>'FR 08018'!N1</f>
        <v>3.0523600000000002</v>
      </c>
      <c r="D26" s="184">
        <v>2</v>
      </c>
      <c r="E26" s="362">
        <f t="shared" si="0"/>
        <v>6.1047200000000004</v>
      </c>
    </row>
    <row r="27" spans="1:14" x14ac:dyDescent="0.3">
      <c r="A27" s="184">
        <v>190</v>
      </c>
      <c r="B27" s="184" t="s">
        <v>1905</v>
      </c>
      <c r="C27" s="362">
        <f>'FR 08019'!N1</f>
        <v>3.5107499999999998</v>
      </c>
      <c r="D27" s="184">
        <v>2</v>
      </c>
      <c r="E27" s="362">
        <f t="shared" si="0"/>
        <v>7.0214999999999996</v>
      </c>
    </row>
    <row r="28" spans="1:14" x14ac:dyDescent="0.3">
      <c r="D28" s="639" t="s">
        <v>547</v>
      </c>
      <c r="E28" s="640">
        <f>SUM(E9:E27)</f>
        <v>2468.440096712472</v>
      </c>
    </row>
    <row r="30" spans="1:14" x14ac:dyDescent="0.3">
      <c r="A30" s="638" t="s">
        <v>544</v>
      </c>
      <c r="B30" s="638" t="s">
        <v>581</v>
      </c>
      <c r="C30" s="638" t="s">
        <v>549</v>
      </c>
      <c r="D30" s="638" t="s">
        <v>550</v>
      </c>
      <c r="E30" s="638" t="s">
        <v>567</v>
      </c>
      <c r="F30" s="638" t="s">
        <v>568</v>
      </c>
      <c r="G30" s="638" t="s">
        <v>569</v>
      </c>
      <c r="H30" s="638" t="s">
        <v>570</v>
      </c>
      <c r="I30" s="638" t="s">
        <v>582</v>
      </c>
      <c r="J30" s="638" t="s">
        <v>583</v>
      </c>
      <c r="K30" s="638" t="s">
        <v>584</v>
      </c>
      <c r="L30" s="638" t="s">
        <v>585</v>
      </c>
      <c r="M30" s="638" t="s">
        <v>28</v>
      </c>
      <c r="N30" s="638" t="s">
        <v>547</v>
      </c>
    </row>
    <row r="31" spans="1:14" x14ac:dyDescent="0.3">
      <c r="A31" s="184">
        <v>10</v>
      </c>
      <c r="B31" s="184" t="s">
        <v>1906</v>
      </c>
      <c r="C31" s="184" t="s">
        <v>1907</v>
      </c>
      <c r="D31" s="241">
        <v>10</v>
      </c>
      <c r="E31" s="184">
        <v>0.22</v>
      </c>
      <c r="F31" s="183" t="s">
        <v>627</v>
      </c>
      <c r="G31" s="183"/>
      <c r="H31" s="204"/>
      <c r="I31" s="205"/>
      <c r="J31" s="430"/>
      <c r="K31" s="204"/>
      <c r="L31" s="204"/>
      <c r="M31" s="183">
        <v>0.22</v>
      </c>
      <c r="N31" s="385">
        <f>IF(J31="",D31*M31,D31*J31*K31*L31*M31)</f>
        <v>2.2000000000000002</v>
      </c>
    </row>
    <row r="32" spans="1:14" s="278" customFormat="1" x14ac:dyDescent="0.3">
      <c r="M32" s="639" t="s">
        <v>547</v>
      </c>
      <c r="N32" s="640">
        <f>SUM(N31:N31)</f>
        <v>2.2000000000000002</v>
      </c>
    </row>
    <row r="34" spans="1:10" s="278" customFormat="1" x14ac:dyDescent="0.3">
      <c r="A34" s="638" t="s">
        <v>544</v>
      </c>
      <c r="B34" s="638" t="s">
        <v>548</v>
      </c>
      <c r="C34" s="638" t="s">
        <v>549</v>
      </c>
      <c r="D34" s="638" t="s">
        <v>550</v>
      </c>
      <c r="E34" s="638" t="s">
        <v>551</v>
      </c>
      <c r="F34" s="638" t="s">
        <v>28</v>
      </c>
      <c r="G34" s="638" t="s">
        <v>552</v>
      </c>
      <c r="H34" s="638" t="s">
        <v>553</v>
      </c>
      <c r="I34" s="638" t="s">
        <v>547</v>
      </c>
    </row>
    <row r="35" spans="1:10" s="161" customFormat="1" x14ac:dyDescent="0.3">
      <c r="A35" s="184">
        <v>10</v>
      </c>
      <c r="B35" s="180" t="s">
        <v>650</v>
      </c>
      <c r="C35" s="184" t="s">
        <v>1908</v>
      </c>
      <c r="D35" s="362">
        <v>0.15</v>
      </c>
      <c r="E35" s="184" t="s">
        <v>593</v>
      </c>
      <c r="F35" s="184">
        <f>14*2*2</f>
        <v>56</v>
      </c>
      <c r="G35" s="184"/>
      <c r="H35" s="184">
        <v>1</v>
      </c>
      <c r="I35" s="362">
        <f>D35*F35*H35</f>
        <v>8.4</v>
      </c>
      <c r="J35" s="248"/>
    </row>
    <row r="36" spans="1:10" s="161" customFormat="1" ht="28.8" x14ac:dyDescent="0.3">
      <c r="A36" s="184">
        <v>20</v>
      </c>
      <c r="B36" s="641" t="s">
        <v>762</v>
      </c>
      <c r="C36" s="184" t="s">
        <v>1909</v>
      </c>
      <c r="D36" s="642">
        <v>5.25</v>
      </c>
      <c r="E36" s="641" t="s">
        <v>627</v>
      </c>
      <c r="F36" s="184">
        <v>0.22</v>
      </c>
      <c r="G36" s="184"/>
      <c r="H36" s="184">
        <v>1</v>
      </c>
      <c r="I36" s="362">
        <f t="shared" ref="I36:I49" si="1">D36*F36*H36</f>
        <v>1.155</v>
      </c>
      <c r="J36" s="248"/>
    </row>
    <row r="37" spans="1:10" s="161" customFormat="1" x14ac:dyDescent="0.3">
      <c r="A37" s="184">
        <v>30</v>
      </c>
      <c r="B37" s="641" t="s">
        <v>1004</v>
      </c>
      <c r="C37" s="184" t="s">
        <v>1910</v>
      </c>
      <c r="D37" s="243">
        <v>0.06</v>
      </c>
      <c r="E37" s="641" t="s">
        <v>556</v>
      </c>
      <c r="F37" s="168">
        <v>6</v>
      </c>
      <c r="G37" s="168"/>
      <c r="H37" s="168">
        <v>1</v>
      </c>
      <c r="I37" s="362">
        <f t="shared" si="1"/>
        <v>0.36</v>
      </c>
    </row>
    <row r="38" spans="1:10" s="161" customFormat="1" x14ac:dyDescent="0.3">
      <c r="A38" s="184">
        <v>40</v>
      </c>
      <c r="B38" s="180" t="s">
        <v>559</v>
      </c>
      <c r="C38" s="184" t="s">
        <v>1911</v>
      </c>
      <c r="D38" s="642">
        <v>0.75</v>
      </c>
      <c r="E38" s="641" t="s">
        <v>556</v>
      </c>
      <c r="F38" s="184">
        <v>6</v>
      </c>
      <c r="G38" s="184"/>
      <c r="H38" s="184">
        <v>1</v>
      </c>
      <c r="I38" s="362">
        <f t="shared" si="1"/>
        <v>4.5</v>
      </c>
      <c r="J38" s="248"/>
    </row>
    <row r="39" spans="1:10" s="161" customFormat="1" x14ac:dyDescent="0.3">
      <c r="A39" s="184">
        <v>50</v>
      </c>
      <c r="B39" s="180" t="s">
        <v>616</v>
      </c>
      <c r="C39" s="184" t="s">
        <v>1911</v>
      </c>
      <c r="D39" s="642">
        <v>0.25</v>
      </c>
      <c r="E39" s="641" t="s">
        <v>556</v>
      </c>
      <c r="F39" s="184">
        <v>6</v>
      </c>
      <c r="G39" s="184"/>
      <c r="H39" s="184">
        <v>1</v>
      </c>
      <c r="I39" s="362">
        <f t="shared" si="1"/>
        <v>1.5</v>
      </c>
      <c r="J39" s="248"/>
    </row>
    <row r="40" spans="1:10" s="161" customFormat="1" ht="28.8" x14ac:dyDescent="0.3">
      <c r="A40" s="184">
        <v>60</v>
      </c>
      <c r="B40" s="641" t="s">
        <v>1912</v>
      </c>
      <c r="C40" s="184" t="s">
        <v>1913</v>
      </c>
      <c r="D40" s="642">
        <v>0.13</v>
      </c>
      <c r="E40" s="641" t="s">
        <v>556</v>
      </c>
      <c r="F40" s="184">
        <v>6</v>
      </c>
      <c r="G40" s="184"/>
      <c r="H40" s="184">
        <v>1</v>
      </c>
      <c r="I40" s="362">
        <f t="shared" si="1"/>
        <v>0.78</v>
      </c>
      <c r="J40" s="248"/>
    </row>
    <row r="41" spans="1:10" s="161" customFormat="1" x14ac:dyDescent="0.3">
      <c r="A41" s="184">
        <v>70</v>
      </c>
      <c r="B41" s="180" t="s">
        <v>559</v>
      </c>
      <c r="C41" s="184" t="s">
        <v>1914</v>
      </c>
      <c r="D41" s="642">
        <v>0.75</v>
      </c>
      <c r="E41" s="641" t="s">
        <v>556</v>
      </c>
      <c r="F41" s="184">
        <v>6</v>
      </c>
      <c r="G41" s="184"/>
      <c r="H41" s="184">
        <v>1</v>
      </c>
      <c r="I41" s="362">
        <f t="shared" si="1"/>
        <v>4.5</v>
      </c>
      <c r="J41" s="248"/>
    </row>
    <row r="42" spans="1:10" s="161" customFormat="1" x14ac:dyDescent="0.3">
      <c r="A42" s="184">
        <v>80</v>
      </c>
      <c r="B42" s="641" t="s">
        <v>1004</v>
      </c>
      <c r="C42" s="184" t="s">
        <v>1915</v>
      </c>
      <c r="D42" s="243">
        <v>0.06</v>
      </c>
      <c r="E42" s="641" t="s">
        <v>556</v>
      </c>
      <c r="F42" s="168">
        <v>1</v>
      </c>
      <c r="G42" s="168"/>
      <c r="H42" s="168">
        <v>1</v>
      </c>
      <c r="I42" s="362">
        <f t="shared" si="1"/>
        <v>0.06</v>
      </c>
    </row>
    <row r="43" spans="1:10" x14ac:dyDescent="0.3">
      <c r="A43" s="184">
        <v>90</v>
      </c>
      <c r="B43" s="180" t="s">
        <v>1916</v>
      </c>
      <c r="C43" s="193" t="s">
        <v>1917</v>
      </c>
      <c r="D43" s="243">
        <v>0.13</v>
      </c>
      <c r="E43" s="184" t="s">
        <v>556</v>
      </c>
      <c r="F43" s="184">
        <v>6</v>
      </c>
      <c r="G43" s="184"/>
      <c r="H43" s="184">
        <v>1</v>
      </c>
      <c r="I43" s="362">
        <f t="shared" si="1"/>
        <v>0.78</v>
      </c>
    </row>
    <row r="44" spans="1:10" s="161" customFormat="1" x14ac:dyDescent="0.3">
      <c r="A44" s="184">
        <v>100</v>
      </c>
      <c r="B44" s="641" t="s">
        <v>1004</v>
      </c>
      <c r="C44" s="184" t="s">
        <v>1918</v>
      </c>
      <c r="D44" s="243">
        <v>0.06</v>
      </c>
      <c r="E44" s="641" t="s">
        <v>556</v>
      </c>
      <c r="F44" s="168">
        <v>6</v>
      </c>
      <c r="G44" s="168"/>
      <c r="H44" s="168">
        <v>1</v>
      </c>
      <c r="I44" s="362">
        <f t="shared" si="1"/>
        <v>0.36</v>
      </c>
    </row>
    <row r="45" spans="1:10" s="161" customFormat="1" x14ac:dyDescent="0.3">
      <c r="A45" s="184">
        <v>110</v>
      </c>
      <c r="B45" s="641" t="s">
        <v>659</v>
      </c>
      <c r="C45" s="184" t="s">
        <v>1918</v>
      </c>
      <c r="D45" s="643">
        <v>0.5</v>
      </c>
      <c r="E45" s="641" t="s">
        <v>556</v>
      </c>
      <c r="F45" s="168">
        <v>22</v>
      </c>
      <c r="G45" s="168"/>
      <c r="H45" s="168">
        <v>1</v>
      </c>
      <c r="I45" s="362">
        <f t="shared" si="1"/>
        <v>11</v>
      </c>
    </row>
    <row r="46" spans="1:10" s="161" customFormat="1" x14ac:dyDescent="0.3">
      <c r="A46" s="184">
        <v>120</v>
      </c>
      <c r="B46" s="641" t="s">
        <v>660</v>
      </c>
      <c r="C46" s="184" t="s">
        <v>1918</v>
      </c>
      <c r="D46" s="643">
        <v>0.25</v>
      </c>
      <c r="E46" s="641" t="s">
        <v>556</v>
      </c>
      <c r="F46" s="168">
        <v>22</v>
      </c>
      <c r="G46" s="168"/>
      <c r="H46" s="168">
        <v>1</v>
      </c>
      <c r="I46" s="362">
        <f t="shared" si="1"/>
        <v>5.5</v>
      </c>
    </row>
    <row r="47" spans="1:10" s="161" customFormat="1" x14ac:dyDescent="0.3">
      <c r="A47" s="184">
        <v>130</v>
      </c>
      <c r="B47" s="641" t="s">
        <v>1004</v>
      </c>
      <c r="C47" s="184" t="s">
        <v>1919</v>
      </c>
      <c r="D47" s="243">
        <v>0.06</v>
      </c>
      <c r="E47" s="641" t="s">
        <v>556</v>
      </c>
      <c r="F47" s="168">
        <v>2</v>
      </c>
      <c r="G47" s="168"/>
      <c r="H47" s="168">
        <v>1</v>
      </c>
      <c r="I47" s="362">
        <f t="shared" si="1"/>
        <v>0.12</v>
      </c>
    </row>
    <row r="48" spans="1:10" s="161" customFormat="1" x14ac:dyDescent="0.3">
      <c r="A48" s="184">
        <v>140</v>
      </c>
      <c r="B48" s="641" t="s">
        <v>659</v>
      </c>
      <c r="C48" s="184" t="s">
        <v>1919</v>
      </c>
      <c r="D48" s="643">
        <v>0.5</v>
      </c>
      <c r="E48" s="641" t="s">
        <v>556</v>
      </c>
      <c r="F48" s="168">
        <v>4</v>
      </c>
      <c r="G48" s="168"/>
      <c r="H48" s="168">
        <v>1</v>
      </c>
      <c r="I48" s="362">
        <f t="shared" si="1"/>
        <v>2</v>
      </c>
    </row>
    <row r="49" spans="1:10" s="161" customFormat="1" x14ac:dyDescent="0.3">
      <c r="A49" s="184">
        <v>150</v>
      </c>
      <c r="B49" s="641" t="s">
        <v>660</v>
      </c>
      <c r="C49" s="184" t="s">
        <v>1919</v>
      </c>
      <c r="D49" s="643">
        <v>0.25</v>
      </c>
      <c r="E49" s="641" t="s">
        <v>556</v>
      </c>
      <c r="F49" s="168">
        <v>4</v>
      </c>
      <c r="G49" s="168"/>
      <c r="H49" s="168">
        <v>1</v>
      </c>
      <c r="I49" s="362">
        <f t="shared" si="1"/>
        <v>1</v>
      </c>
    </row>
    <row r="50" spans="1:10" s="278" customFormat="1" x14ac:dyDescent="0.3">
      <c r="H50" s="639" t="s">
        <v>547</v>
      </c>
      <c r="I50" s="640">
        <f>SUM(I35:I49)</f>
        <v>42.014999999999993</v>
      </c>
    </row>
    <row r="52" spans="1:10" s="278" customFormat="1" x14ac:dyDescent="0.3">
      <c r="A52" s="638" t="s">
        <v>544</v>
      </c>
      <c r="B52" s="638" t="s">
        <v>566</v>
      </c>
      <c r="C52" s="638" t="s">
        <v>549</v>
      </c>
      <c r="D52" s="638" t="s">
        <v>550</v>
      </c>
      <c r="E52" s="638" t="s">
        <v>567</v>
      </c>
      <c r="F52" s="638" t="s">
        <v>568</v>
      </c>
      <c r="G52" s="638" t="s">
        <v>569</v>
      </c>
      <c r="H52" s="638" t="s">
        <v>570</v>
      </c>
      <c r="I52" s="638" t="s">
        <v>28</v>
      </c>
      <c r="J52" s="638" t="s">
        <v>547</v>
      </c>
    </row>
    <row r="53" spans="1:10" x14ac:dyDescent="0.3">
      <c r="A53" s="184">
        <v>10</v>
      </c>
      <c r="B53" s="644" t="s">
        <v>618</v>
      </c>
      <c r="C53" s="184" t="s">
        <v>1920</v>
      </c>
      <c r="D53" s="362">
        <v>0.04</v>
      </c>
      <c r="E53" s="184">
        <v>8</v>
      </c>
      <c r="F53" s="184" t="s">
        <v>573</v>
      </c>
      <c r="G53" s="184"/>
      <c r="H53" s="184"/>
      <c r="I53" s="184">
        <v>12</v>
      </c>
      <c r="J53" s="362">
        <f t="shared" ref="J53:J61" si="2">D53*I53</f>
        <v>0.48</v>
      </c>
    </row>
    <row r="54" spans="1:10" x14ac:dyDescent="0.3">
      <c r="A54" s="184">
        <v>20</v>
      </c>
      <c r="B54" s="184" t="s">
        <v>574</v>
      </c>
      <c r="C54" s="184" t="s">
        <v>1921</v>
      </c>
      <c r="D54" s="362">
        <v>0.01</v>
      </c>
      <c r="E54" s="184">
        <v>8</v>
      </c>
      <c r="F54" s="184" t="s">
        <v>573</v>
      </c>
      <c r="G54" s="184"/>
      <c r="H54" s="184"/>
      <c r="I54" s="184">
        <v>12</v>
      </c>
      <c r="J54" s="362">
        <f t="shared" si="2"/>
        <v>0.12</v>
      </c>
    </row>
    <row r="55" spans="1:10" x14ac:dyDescent="0.3">
      <c r="A55" s="184">
        <v>30</v>
      </c>
      <c r="B55" s="644" t="s">
        <v>618</v>
      </c>
      <c r="C55" s="184" t="s">
        <v>1922</v>
      </c>
      <c r="D55" s="362">
        <v>0.4</v>
      </c>
      <c r="E55" s="184">
        <v>19</v>
      </c>
      <c r="F55" s="606" t="s">
        <v>573</v>
      </c>
      <c r="G55" s="184"/>
      <c r="H55" s="193"/>
      <c r="I55" s="607">
        <v>6</v>
      </c>
      <c r="J55" s="362">
        <f t="shared" si="2"/>
        <v>2.4000000000000004</v>
      </c>
    </row>
    <row r="56" spans="1:10" x14ac:dyDescent="0.3">
      <c r="A56" s="184">
        <v>40</v>
      </c>
      <c r="B56" s="225" t="s">
        <v>684</v>
      </c>
      <c r="C56" s="184" t="s">
        <v>1923</v>
      </c>
      <c r="D56" s="362">
        <v>0.04</v>
      </c>
      <c r="E56" s="184">
        <v>6</v>
      </c>
      <c r="F56" s="606" t="s">
        <v>573</v>
      </c>
      <c r="G56" s="184">
        <v>20</v>
      </c>
      <c r="H56" s="193" t="s">
        <v>573</v>
      </c>
      <c r="I56" s="607">
        <v>22</v>
      </c>
      <c r="J56" s="362">
        <f t="shared" si="2"/>
        <v>0.88</v>
      </c>
    </row>
    <row r="57" spans="1:10" x14ac:dyDescent="0.3">
      <c r="A57" s="184">
        <v>50</v>
      </c>
      <c r="B57" s="644" t="s">
        <v>618</v>
      </c>
      <c r="C57" s="184" t="s">
        <v>1923</v>
      </c>
      <c r="D57" s="362">
        <v>0.03</v>
      </c>
      <c r="E57" s="184">
        <v>6</v>
      </c>
      <c r="F57" s="606" t="s">
        <v>573</v>
      </c>
      <c r="G57" s="184"/>
      <c r="H57" s="193"/>
      <c r="I57" s="607">
        <v>22</v>
      </c>
      <c r="J57" s="362">
        <f t="shared" si="2"/>
        <v>0.65999999999999992</v>
      </c>
    </row>
    <row r="58" spans="1:10" x14ac:dyDescent="0.3">
      <c r="A58" s="184">
        <v>60</v>
      </c>
      <c r="B58" s="184" t="s">
        <v>574</v>
      </c>
      <c r="C58" s="184" t="s">
        <v>1923</v>
      </c>
      <c r="D58" s="362">
        <v>0.01</v>
      </c>
      <c r="E58" s="184">
        <v>6</v>
      </c>
      <c r="F58" s="606" t="s">
        <v>573</v>
      </c>
      <c r="G58" s="184"/>
      <c r="H58" s="193"/>
      <c r="I58" s="607">
        <v>44</v>
      </c>
      <c r="J58" s="362">
        <f t="shared" si="2"/>
        <v>0.44</v>
      </c>
    </row>
    <row r="59" spans="1:10" x14ac:dyDescent="0.3">
      <c r="A59" s="184">
        <v>70</v>
      </c>
      <c r="B59" s="225" t="s">
        <v>684</v>
      </c>
      <c r="C59" s="184" t="s">
        <v>1919</v>
      </c>
      <c r="D59" s="362">
        <v>0.04</v>
      </c>
      <c r="E59" s="184">
        <v>6</v>
      </c>
      <c r="F59" s="606" t="s">
        <v>573</v>
      </c>
      <c r="G59" s="184">
        <v>20</v>
      </c>
      <c r="H59" s="193" t="s">
        <v>573</v>
      </c>
      <c r="I59" s="607">
        <v>4</v>
      </c>
      <c r="J59" s="362">
        <f t="shared" si="2"/>
        <v>0.16</v>
      </c>
    </row>
    <row r="60" spans="1:10" x14ac:dyDescent="0.3">
      <c r="A60" s="184">
        <v>80</v>
      </c>
      <c r="B60" s="644" t="s">
        <v>618</v>
      </c>
      <c r="C60" s="184" t="s">
        <v>1919</v>
      </c>
      <c r="D60" s="362">
        <v>0.03</v>
      </c>
      <c r="E60" s="184">
        <v>6</v>
      </c>
      <c r="F60" s="606" t="s">
        <v>573</v>
      </c>
      <c r="G60" s="184"/>
      <c r="H60" s="193"/>
      <c r="I60" s="607">
        <v>4</v>
      </c>
      <c r="J60" s="362">
        <f t="shared" si="2"/>
        <v>0.12</v>
      </c>
    </row>
    <row r="61" spans="1:10" x14ac:dyDescent="0.3">
      <c r="A61" s="184">
        <v>90</v>
      </c>
      <c r="B61" s="184" t="s">
        <v>574</v>
      </c>
      <c r="C61" s="184" t="s">
        <v>1919</v>
      </c>
      <c r="D61" s="362">
        <v>0.01</v>
      </c>
      <c r="E61" s="184">
        <v>6</v>
      </c>
      <c r="F61" s="606" t="s">
        <v>573</v>
      </c>
      <c r="G61" s="184"/>
      <c r="H61" s="193"/>
      <c r="I61" s="607">
        <v>8</v>
      </c>
      <c r="J61" s="362">
        <f t="shared" si="2"/>
        <v>0.08</v>
      </c>
    </row>
    <row r="62" spans="1:10" s="278" customFormat="1" x14ac:dyDescent="0.3">
      <c r="I62" s="639" t="s">
        <v>547</v>
      </c>
      <c r="J62" s="640">
        <f>SUM(J53:J61)</f>
        <v>5.3400000000000007</v>
      </c>
    </row>
    <row r="63" spans="1:10" x14ac:dyDescent="0.3">
      <c r="H63" s="292"/>
      <c r="I63" s="293"/>
    </row>
    <row r="64" spans="1:10" s="278" customFormat="1" x14ac:dyDescent="0.3">
      <c r="A64" s="638" t="s">
        <v>544</v>
      </c>
      <c r="B64" s="638" t="s">
        <v>6</v>
      </c>
      <c r="C64" s="638" t="s">
        <v>549</v>
      </c>
      <c r="D64" s="638" t="s">
        <v>550</v>
      </c>
      <c r="E64" s="638" t="s">
        <v>551</v>
      </c>
      <c r="F64" s="638" t="s">
        <v>28</v>
      </c>
      <c r="G64" s="638" t="s">
        <v>691</v>
      </c>
      <c r="H64" s="638" t="s">
        <v>736</v>
      </c>
      <c r="I64" s="638" t="s">
        <v>547</v>
      </c>
    </row>
    <row r="65" spans="1:9" x14ac:dyDescent="0.3">
      <c r="A65" s="184">
        <v>10</v>
      </c>
      <c r="B65" s="267" t="s">
        <v>1924</v>
      </c>
      <c r="C65" s="184" t="s">
        <v>1925</v>
      </c>
      <c r="D65" s="645">
        <v>500</v>
      </c>
      <c r="E65" s="184" t="s">
        <v>695</v>
      </c>
      <c r="F65" s="646">
        <v>56</v>
      </c>
      <c r="G65" s="184">
        <v>3000</v>
      </c>
      <c r="H65" s="184">
        <v>1</v>
      </c>
      <c r="I65" s="362">
        <f>D65*F65/G65*H65</f>
        <v>9.3333333333333339</v>
      </c>
    </row>
    <row r="66" spans="1:9" s="278" customFormat="1" x14ac:dyDescent="0.3">
      <c r="H66" s="639" t="s">
        <v>547</v>
      </c>
      <c r="I66" s="640">
        <f>SUM(I65:I65)</f>
        <v>9.3333333333333339</v>
      </c>
    </row>
  </sheetData>
  <pageMargins left="0.5" right="0.5" top="0.75" bottom="0.75" header="0.3" footer="0.3"/>
  <pageSetup paperSize="9" scale="49" orientation="landscape" r:id="rId1"/>
</worksheet>
</file>

<file path=xl/worksheets/sheet1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58"/>
  <sheetViews>
    <sheetView showGridLines="0" workbookViewId="0"/>
  </sheetViews>
  <sheetFormatPr defaultColWidth="9.109375" defaultRowHeight="14.4" x14ac:dyDescent="0.3"/>
  <cols>
    <col min="1" max="1" width="15" style="248" bestFit="1" customWidth="1"/>
    <col min="2" max="2" width="34.33203125" style="248" customWidth="1"/>
    <col min="3" max="3" width="24.33203125" style="248" customWidth="1"/>
    <col min="4" max="4" width="13.44140625" style="248" bestFit="1" customWidth="1"/>
    <col min="5" max="5" width="14.109375" style="248" bestFit="1" customWidth="1"/>
    <col min="6" max="6" width="12" style="248" bestFit="1" customWidth="1"/>
    <col min="7" max="7" width="12.88671875" style="248" customWidth="1"/>
    <col min="8" max="8" width="13.88671875" style="248" bestFit="1" customWidth="1"/>
    <col min="9" max="9" width="15.44140625" style="248" bestFit="1" customWidth="1"/>
    <col min="10" max="10" width="13.88671875" style="248" bestFit="1" customWidth="1"/>
    <col min="11" max="11" width="10.44140625" style="248" bestFit="1" customWidth="1"/>
    <col min="12" max="12" width="11.33203125" style="248" bestFit="1" customWidth="1"/>
    <col min="13" max="13" width="13.88671875" style="248" bestFit="1" customWidth="1"/>
    <col min="14" max="14" width="15" style="248" bestFit="1" customWidth="1"/>
    <col min="15" max="15" width="9.109375" style="248"/>
    <col min="16" max="16" width="9.44140625" style="248" bestFit="1" customWidth="1"/>
    <col min="17" max="18" width="9.109375" style="248"/>
    <col min="19" max="19" width="10.44140625" style="248" bestFit="1" customWidth="1"/>
    <col min="20" max="20" width="9.44140625" style="248" bestFit="1" customWidth="1"/>
    <col min="21" max="21" width="9.109375" style="248"/>
    <col min="22" max="22" width="9.44140625" style="248" bestFit="1" customWidth="1"/>
    <col min="23" max="23" width="9.109375" style="248"/>
    <col min="24" max="25" width="10.109375" style="248" bestFit="1" customWidth="1"/>
    <col min="26" max="28" width="9.33203125" style="248" bestFit="1" customWidth="1"/>
    <col min="29" max="16384" width="9.109375" style="248"/>
  </cols>
  <sheetData>
    <row r="1" spans="1:14" x14ac:dyDescent="0.3">
      <c r="A1" s="602" t="s">
        <v>523</v>
      </c>
      <c r="B1" s="248" t="s">
        <v>524</v>
      </c>
      <c r="J1" s="603" t="s">
        <v>528</v>
      </c>
      <c r="K1" s="250">
        <v>81</v>
      </c>
      <c r="M1" s="602" t="s">
        <v>546</v>
      </c>
      <c r="N1" s="364">
        <f>N24+I54+I58</f>
        <v>2322.0333333333338</v>
      </c>
    </row>
    <row r="2" spans="1:14" x14ac:dyDescent="0.3">
      <c r="A2" s="602" t="s">
        <v>532</v>
      </c>
      <c r="B2" s="248" t="s">
        <v>1418</v>
      </c>
      <c r="D2" s="602" t="s">
        <v>536</v>
      </c>
      <c r="M2" s="602" t="s">
        <v>533</v>
      </c>
      <c r="N2" s="296">
        <v>1</v>
      </c>
    </row>
    <row r="3" spans="1:14" x14ac:dyDescent="0.3">
      <c r="A3" s="602" t="s">
        <v>534</v>
      </c>
      <c r="B3" s="248" t="s">
        <v>261</v>
      </c>
      <c r="D3" s="602" t="s">
        <v>538</v>
      </c>
      <c r="J3" s="602" t="s">
        <v>536</v>
      </c>
    </row>
    <row r="4" spans="1:14" x14ac:dyDescent="0.3">
      <c r="A4" s="602" t="s">
        <v>545</v>
      </c>
      <c r="B4" s="319" t="s">
        <v>261</v>
      </c>
      <c r="D4" s="602" t="s">
        <v>541</v>
      </c>
      <c r="J4" s="602" t="s">
        <v>538</v>
      </c>
      <c r="M4" s="602" t="s">
        <v>539</v>
      </c>
      <c r="N4" s="364">
        <f>N1*N2</f>
        <v>2322.0333333333338</v>
      </c>
    </row>
    <row r="5" spans="1:14" x14ac:dyDescent="0.3">
      <c r="A5" s="602" t="s">
        <v>537</v>
      </c>
      <c r="B5" s="604" t="s">
        <v>1926</v>
      </c>
      <c r="J5" s="602" t="s">
        <v>541</v>
      </c>
    </row>
    <row r="6" spans="1:14" x14ac:dyDescent="0.3">
      <c r="A6" s="602" t="s">
        <v>540</v>
      </c>
      <c r="B6" s="248" t="s">
        <v>36</v>
      </c>
    </row>
    <row r="7" spans="1:14" x14ac:dyDescent="0.3">
      <c r="A7" s="602" t="s">
        <v>542</v>
      </c>
      <c r="B7" s="248" t="s">
        <v>1927</v>
      </c>
    </row>
    <row r="9" spans="1:14" s="2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x14ac:dyDescent="0.3">
      <c r="A10" s="184">
        <v>10</v>
      </c>
      <c r="B10" s="184" t="s">
        <v>855</v>
      </c>
      <c r="C10" s="184" t="s">
        <v>1928</v>
      </c>
      <c r="D10" s="647">
        <v>200</v>
      </c>
      <c r="E10" s="184">
        <v>0.41</v>
      </c>
      <c r="F10" s="184" t="s">
        <v>856</v>
      </c>
      <c r="G10" s="184"/>
      <c r="H10" s="648"/>
      <c r="I10" s="269"/>
      <c r="J10" s="184">
        <v>2.2999999999999998</v>
      </c>
      <c r="K10" s="268"/>
      <c r="L10" s="268"/>
      <c r="M10" s="271">
        <v>3</v>
      </c>
      <c r="N10" s="363">
        <f t="shared" ref="N10:N23" si="0">D10*E10*M10</f>
        <v>246</v>
      </c>
    </row>
    <row r="11" spans="1:14" x14ac:dyDescent="0.3">
      <c r="A11" s="184">
        <v>20</v>
      </c>
      <c r="B11" s="184" t="s">
        <v>855</v>
      </c>
      <c r="C11" s="184" t="s">
        <v>1929</v>
      </c>
      <c r="D11" s="647">
        <v>200</v>
      </c>
      <c r="E11" s="184">
        <v>0.05</v>
      </c>
      <c r="F11" s="225" t="s">
        <v>856</v>
      </c>
      <c r="G11" s="184"/>
      <c r="H11" s="268"/>
      <c r="I11" s="269"/>
      <c r="J11" s="184">
        <f>0.52</f>
        <v>0.52</v>
      </c>
      <c r="K11" s="268"/>
      <c r="L11" s="268"/>
      <c r="M11" s="271">
        <v>3</v>
      </c>
      <c r="N11" s="363">
        <f t="shared" si="0"/>
        <v>30</v>
      </c>
    </row>
    <row r="12" spans="1:14" x14ac:dyDescent="0.3">
      <c r="A12" s="184">
        <v>30</v>
      </c>
      <c r="B12" s="184" t="s">
        <v>855</v>
      </c>
      <c r="C12" s="184" t="s">
        <v>1930</v>
      </c>
      <c r="D12" s="647">
        <v>200</v>
      </c>
      <c r="E12" s="184">
        <v>0.05</v>
      </c>
      <c r="F12" s="225" t="s">
        <v>856</v>
      </c>
      <c r="G12" s="184"/>
      <c r="H12" s="268"/>
      <c r="I12" s="269"/>
      <c r="J12" s="184">
        <f>0.52</f>
        <v>0.52</v>
      </c>
      <c r="K12" s="268"/>
      <c r="L12" s="268"/>
      <c r="M12" s="271">
        <v>3</v>
      </c>
      <c r="N12" s="363">
        <f t="shared" si="0"/>
        <v>30</v>
      </c>
    </row>
    <row r="13" spans="1:14" x14ac:dyDescent="0.3">
      <c r="A13" s="184">
        <v>40</v>
      </c>
      <c r="B13" s="184" t="s">
        <v>855</v>
      </c>
      <c r="C13" s="184" t="s">
        <v>1931</v>
      </c>
      <c r="D13" s="647">
        <v>200</v>
      </c>
      <c r="E13" s="184">
        <v>0.1</v>
      </c>
      <c r="F13" s="225" t="s">
        <v>856</v>
      </c>
      <c r="G13" s="184"/>
      <c r="H13" s="268"/>
      <c r="I13" s="419"/>
      <c r="J13" s="184">
        <v>0.62</v>
      </c>
      <c r="K13" s="268"/>
      <c r="L13" s="274"/>
      <c r="M13" s="271">
        <v>3</v>
      </c>
      <c r="N13" s="363">
        <f t="shared" si="0"/>
        <v>60</v>
      </c>
    </row>
    <row r="14" spans="1:14" x14ac:dyDescent="0.3">
      <c r="A14" s="184">
        <v>50</v>
      </c>
      <c r="B14" s="184" t="s">
        <v>855</v>
      </c>
      <c r="C14" s="184" t="s">
        <v>1932</v>
      </c>
      <c r="D14" s="647">
        <v>200</v>
      </c>
      <c r="E14" s="184">
        <v>0.1</v>
      </c>
      <c r="F14" s="225" t="s">
        <v>856</v>
      </c>
      <c r="G14" s="184"/>
      <c r="H14" s="268"/>
      <c r="I14" s="419"/>
      <c r="J14" s="184">
        <v>0.62</v>
      </c>
      <c r="K14" s="268"/>
      <c r="L14" s="274"/>
      <c r="M14" s="271">
        <v>3</v>
      </c>
      <c r="N14" s="363">
        <f t="shared" si="0"/>
        <v>60</v>
      </c>
    </row>
    <row r="15" spans="1:14" x14ac:dyDescent="0.3">
      <c r="A15" s="184">
        <v>60</v>
      </c>
      <c r="B15" s="184" t="s">
        <v>855</v>
      </c>
      <c r="C15" s="184" t="s">
        <v>1933</v>
      </c>
      <c r="D15" s="647">
        <v>200</v>
      </c>
      <c r="E15" s="649">
        <v>0.2</v>
      </c>
      <c r="F15" s="225" t="s">
        <v>856</v>
      </c>
      <c r="G15" s="184"/>
      <c r="H15" s="268"/>
      <c r="I15" s="419"/>
      <c r="J15" s="649">
        <v>1.1499999999999999</v>
      </c>
      <c r="K15" s="268"/>
      <c r="L15" s="268"/>
      <c r="M15" s="271">
        <v>3</v>
      </c>
      <c r="N15" s="363">
        <f t="shared" si="0"/>
        <v>120</v>
      </c>
    </row>
    <row r="16" spans="1:14" x14ac:dyDescent="0.3">
      <c r="A16" s="184">
        <v>70</v>
      </c>
      <c r="B16" s="184" t="s">
        <v>855</v>
      </c>
      <c r="C16" s="184" t="s">
        <v>1934</v>
      </c>
      <c r="D16" s="647">
        <v>200</v>
      </c>
      <c r="E16" s="649">
        <v>0.41</v>
      </c>
      <c r="F16" s="225" t="s">
        <v>856</v>
      </c>
      <c r="G16" s="184"/>
      <c r="H16" s="268"/>
      <c r="I16" s="419"/>
      <c r="J16" s="649">
        <v>1.1499999999999999</v>
      </c>
      <c r="K16" s="268"/>
      <c r="L16" s="268"/>
      <c r="M16" s="271">
        <v>3</v>
      </c>
      <c r="N16" s="363">
        <f t="shared" si="0"/>
        <v>246</v>
      </c>
    </row>
    <row r="17" spans="1:14" x14ac:dyDescent="0.3">
      <c r="A17" s="184">
        <v>80</v>
      </c>
      <c r="B17" s="225" t="s">
        <v>1935</v>
      </c>
      <c r="C17" s="184" t="s">
        <v>1928</v>
      </c>
      <c r="D17" s="647">
        <v>150</v>
      </c>
      <c r="E17" s="184">
        <v>0.41</v>
      </c>
      <c r="F17" s="184" t="s">
        <v>856</v>
      </c>
      <c r="G17" s="184"/>
      <c r="H17" s="268"/>
      <c r="I17" s="269"/>
      <c r="J17" s="184">
        <v>2.2999999999999998</v>
      </c>
      <c r="K17" s="268"/>
      <c r="L17" s="268"/>
      <c r="M17" s="271">
        <v>1</v>
      </c>
      <c r="N17" s="363">
        <f t="shared" si="0"/>
        <v>61.499999999999993</v>
      </c>
    </row>
    <row r="18" spans="1:14" x14ac:dyDescent="0.3">
      <c r="A18" s="184">
        <v>90</v>
      </c>
      <c r="B18" s="225" t="s">
        <v>1935</v>
      </c>
      <c r="C18" s="184" t="s">
        <v>1929</v>
      </c>
      <c r="D18" s="647">
        <v>150</v>
      </c>
      <c r="E18" s="184">
        <v>0.05</v>
      </c>
      <c r="F18" s="225" t="s">
        <v>856</v>
      </c>
      <c r="G18" s="184"/>
      <c r="H18" s="268"/>
      <c r="I18" s="269"/>
      <c r="J18" s="184">
        <f>0.52</f>
        <v>0.52</v>
      </c>
      <c r="K18" s="268"/>
      <c r="L18" s="268"/>
      <c r="M18" s="271">
        <v>1</v>
      </c>
      <c r="N18" s="363">
        <f t="shared" si="0"/>
        <v>7.5</v>
      </c>
    </row>
    <row r="19" spans="1:14" x14ac:dyDescent="0.3">
      <c r="A19" s="184">
        <v>100</v>
      </c>
      <c r="B19" s="225" t="s">
        <v>1935</v>
      </c>
      <c r="C19" s="184" t="s">
        <v>1930</v>
      </c>
      <c r="D19" s="647">
        <v>150</v>
      </c>
      <c r="E19" s="184">
        <v>0.05</v>
      </c>
      <c r="F19" s="225" t="s">
        <v>856</v>
      </c>
      <c r="G19" s="184"/>
      <c r="H19" s="268"/>
      <c r="I19" s="269"/>
      <c r="J19" s="184">
        <f>0.52</f>
        <v>0.52</v>
      </c>
      <c r="K19" s="268"/>
      <c r="L19" s="268"/>
      <c r="M19" s="271">
        <v>1</v>
      </c>
      <c r="N19" s="363">
        <f t="shared" si="0"/>
        <v>7.5</v>
      </c>
    </row>
    <row r="20" spans="1:14" x14ac:dyDescent="0.3">
      <c r="A20" s="184">
        <v>110</v>
      </c>
      <c r="B20" s="225" t="s">
        <v>1935</v>
      </c>
      <c r="C20" s="184" t="s">
        <v>1931</v>
      </c>
      <c r="D20" s="647">
        <v>150</v>
      </c>
      <c r="E20" s="184">
        <v>0.1</v>
      </c>
      <c r="F20" s="225" t="s">
        <v>856</v>
      </c>
      <c r="G20" s="184"/>
      <c r="H20" s="268"/>
      <c r="I20" s="419"/>
      <c r="J20" s="184">
        <v>0.62</v>
      </c>
      <c r="K20" s="268"/>
      <c r="L20" s="274"/>
      <c r="M20" s="271">
        <v>1</v>
      </c>
      <c r="N20" s="363">
        <f t="shared" si="0"/>
        <v>15</v>
      </c>
    </row>
    <row r="21" spans="1:14" x14ac:dyDescent="0.3">
      <c r="A21" s="184">
        <v>120</v>
      </c>
      <c r="B21" s="225" t="s">
        <v>1935</v>
      </c>
      <c r="C21" s="184" t="s">
        <v>1932</v>
      </c>
      <c r="D21" s="647">
        <v>150</v>
      </c>
      <c r="E21" s="184">
        <v>0.1</v>
      </c>
      <c r="F21" s="225" t="s">
        <v>856</v>
      </c>
      <c r="G21" s="184"/>
      <c r="H21" s="268"/>
      <c r="I21" s="419"/>
      <c r="J21" s="184">
        <v>0.62</v>
      </c>
      <c r="K21" s="268"/>
      <c r="L21" s="274"/>
      <c r="M21" s="271">
        <v>1</v>
      </c>
      <c r="N21" s="363">
        <f t="shared" si="0"/>
        <v>15</v>
      </c>
    </row>
    <row r="22" spans="1:14" x14ac:dyDescent="0.3">
      <c r="A22" s="184">
        <v>130</v>
      </c>
      <c r="B22" s="225" t="s">
        <v>1935</v>
      </c>
      <c r="C22" s="184" t="s">
        <v>1933</v>
      </c>
      <c r="D22" s="647">
        <v>150</v>
      </c>
      <c r="E22" s="649">
        <v>0.2</v>
      </c>
      <c r="F22" s="225" t="s">
        <v>856</v>
      </c>
      <c r="G22" s="184"/>
      <c r="H22" s="268"/>
      <c r="I22" s="419"/>
      <c r="J22" s="649">
        <v>1.1499999999999999</v>
      </c>
      <c r="K22" s="268"/>
      <c r="L22" s="268"/>
      <c r="M22" s="271">
        <v>1</v>
      </c>
      <c r="N22" s="363">
        <f t="shared" si="0"/>
        <v>30</v>
      </c>
    </row>
    <row r="23" spans="1:14" x14ac:dyDescent="0.3">
      <c r="A23" s="184">
        <v>140</v>
      </c>
      <c r="B23" s="225" t="s">
        <v>1935</v>
      </c>
      <c r="C23" s="184" t="s">
        <v>1934</v>
      </c>
      <c r="D23" s="647">
        <v>150</v>
      </c>
      <c r="E23" s="649">
        <v>0.41</v>
      </c>
      <c r="F23" s="225" t="s">
        <v>856</v>
      </c>
      <c r="G23" s="184"/>
      <c r="H23" s="268"/>
      <c r="I23" s="419"/>
      <c r="J23" s="649">
        <v>1.1499999999999999</v>
      </c>
      <c r="K23" s="268"/>
      <c r="L23" s="268"/>
      <c r="M23" s="271">
        <v>1</v>
      </c>
      <c r="N23" s="363">
        <f t="shared" si="0"/>
        <v>61.499999999999993</v>
      </c>
    </row>
    <row r="24" spans="1:14" s="278" customFormat="1" x14ac:dyDescent="0.3">
      <c r="M24" s="650" t="s">
        <v>547</v>
      </c>
      <c r="N24" s="651">
        <f>SUM(N10:N23)</f>
        <v>990</v>
      </c>
    </row>
    <row r="26" spans="1:14" s="278" customFormat="1" x14ac:dyDescent="0.3">
      <c r="A26" s="576" t="s">
        <v>544</v>
      </c>
      <c r="B26" s="576" t="s">
        <v>548</v>
      </c>
      <c r="C26" s="576" t="s">
        <v>549</v>
      </c>
      <c r="D26" s="576" t="s">
        <v>550</v>
      </c>
      <c r="E26" s="576" t="s">
        <v>551</v>
      </c>
      <c r="F26" s="576" t="s">
        <v>28</v>
      </c>
      <c r="G26" s="576" t="s">
        <v>552</v>
      </c>
      <c r="H26" s="576" t="s">
        <v>553</v>
      </c>
      <c r="I26" s="576" t="s">
        <v>547</v>
      </c>
    </row>
    <row r="27" spans="1:14" x14ac:dyDescent="0.3">
      <c r="A27" s="184">
        <v>10</v>
      </c>
      <c r="B27" s="180" t="s">
        <v>857</v>
      </c>
      <c r="C27" s="184" t="s">
        <v>1928</v>
      </c>
      <c r="D27" s="284">
        <v>35</v>
      </c>
      <c r="E27" s="180" t="s">
        <v>627</v>
      </c>
      <c r="F27" s="184">
        <v>2.2999999999999998</v>
      </c>
      <c r="G27" s="184" t="s">
        <v>1026</v>
      </c>
      <c r="H27" s="184">
        <v>4</v>
      </c>
      <c r="I27" s="363">
        <f>IF('FR 08001'!$H27&lt;&gt;"",'FR 08001'!$D27*'FR 08001'!$F27*'FR 08001'!$H27,'FR 08001'!$D27*'FR 08001'!$F27)</f>
        <v>322</v>
      </c>
    </row>
    <row r="28" spans="1:14" x14ac:dyDescent="0.3">
      <c r="A28" s="184">
        <v>20</v>
      </c>
      <c r="B28" s="180" t="s">
        <v>857</v>
      </c>
      <c r="C28" s="184" t="s">
        <v>1929</v>
      </c>
      <c r="D28" s="284">
        <v>35</v>
      </c>
      <c r="E28" s="180" t="s">
        <v>627</v>
      </c>
      <c r="F28" s="184">
        <v>0.52</v>
      </c>
      <c r="G28" s="184" t="s">
        <v>1026</v>
      </c>
      <c r="H28" s="184">
        <v>4</v>
      </c>
      <c r="I28" s="363">
        <f>IF('FR 08001'!$H28&lt;&gt;"",'FR 08001'!$D28*'FR 08001'!$F28*'FR 08001'!$H28,'FR 08001'!$D28*'FR 08001'!$F28)</f>
        <v>72.8</v>
      </c>
    </row>
    <row r="29" spans="1:14" x14ac:dyDescent="0.3">
      <c r="A29" s="184">
        <v>30</v>
      </c>
      <c r="B29" s="180" t="s">
        <v>857</v>
      </c>
      <c r="C29" s="184" t="s">
        <v>1930</v>
      </c>
      <c r="D29" s="284">
        <v>35</v>
      </c>
      <c r="E29" s="180" t="s">
        <v>627</v>
      </c>
      <c r="F29" s="184">
        <v>0.52</v>
      </c>
      <c r="G29" s="184" t="s">
        <v>1026</v>
      </c>
      <c r="H29" s="184">
        <v>4</v>
      </c>
      <c r="I29" s="363">
        <f>IF('FR 08001'!$H29&lt;&gt;"",'FR 08001'!$D29*'FR 08001'!$F29*'FR 08001'!$H29,'FR 08001'!$D29*'FR 08001'!$F29)</f>
        <v>72.8</v>
      </c>
    </row>
    <row r="30" spans="1:14" x14ac:dyDescent="0.3">
      <c r="A30" s="184">
        <v>40</v>
      </c>
      <c r="B30" s="180" t="s">
        <v>857</v>
      </c>
      <c r="C30" s="184" t="s">
        <v>1931</v>
      </c>
      <c r="D30" s="284">
        <v>35</v>
      </c>
      <c r="E30" s="180" t="s">
        <v>627</v>
      </c>
      <c r="F30" s="184">
        <v>0.62</v>
      </c>
      <c r="G30" s="184" t="s">
        <v>1026</v>
      </c>
      <c r="H30" s="184">
        <v>4</v>
      </c>
      <c r="I30" s="363">
        <f>IF('FR 08001'!$H30&lt;&gt;"",'FR 08001'!$D30*'FR 08001'!$F30*'FR 08001'!$H30,'FR 08001'!$D30*'FR 08001'!$F30)</f>
        <v>86.8</v>
      </c>
    </row>
    <row r="31" spans="1:14" x14ac:dyDescent="0.3">
      <c r="A31" s="184">
        <v>50</v>
      </c>
      <c r="B31" s="180" t="s">
        <v>857</v>
      </c>
      <c r="C31" s="184" t="s">
        <v>1932</v>
      </c>
      <c r="D31" s="284">
        <v>35</v>
      </c>
      <c r="E31" s="180" t="s">
        <v>627</v>
      </c>
      <c r="F31" s="184">
        <v>0.62</v>
      </c>
      <c r="G31" s="184" t="s">
        <v>1026</v>
      </c>
      <c r="H31" s="184">
        <v>4</v>
      </c>
      <c r="I31" s="363">
        <f>IF('FR 08001'!$H31&lt;&gt;"",'FR 08001'!$D31*'FR 08001'!$F31*'FR 08001'!$H31,'FR 08001'!$D31*'FR 08001'!$F31)</f>
        <v>86.8</v>
      </c>
    </row>
    <row r="32" spans="1:14" x14ac:dyDescent="0.3">
      <c r="A32" s="184">
        <v>60</v>
      </c>
      <c r="B32" s="180" t="s">
        <v>857</v>
      </c>
      <c r="C32" s="184" t="s">
        <v>1933</v>
      </c>
      <c r="D32" s="284">
        <v>35</v>
      </c>
      <c r="E32" s="180" t="s">
        <v>627</v>
      </c>
      <c r="F32" s="649">
        <v>1.1499999999999999</v>
      </c>
      <c r="G32" s="184" t="s">
        <v>1026</v>
      </c>
      <c r="H32" s="184">
        <v>4</v>
      </c>
      <c r="I32" s="363">
        <f>IF('FR 08001'!$H32&lt;&gt;"",'FR 08001'!$D32*'FR 08001'!$F32*'FR 08001'!$H32,'FR 08001'!$D32*'FR 08001'!$F32)</f>
        <v>161</v>
      </c>
    </row>
    <row r="33" spans="1:13" x14ac:dyDescent="0.3">
      <c r="A33" s="184">
        <v>70</v>
      </c>
      <c r="B33" s="180" t="s">
        <v>857</v>
      </c>
      <c r="C33" s="184" t="s">
        <v>1934</v>
      </c>
      <c r="D33" s="284">
        <v>35</v>
      </c>
      <c r="E33" s="180" t="s">
        <v>627</v>
      </c>
      <c r="F33" s="649">
        <v>1.1499999999999999</v>
      </c>
      <c r="G33" s="184" t="s">
        <v>1026</v>
      </c>
      <c r="H33" s="184">
        <v>4</v>
      </c>
      <c r="I33" s="363">
        <f>IF('FR 08001'!$H33&lt;&gt;"",'FR 08001'!$D33*'FR 08001'!$F33*'FR 08001'!$H33,'FR 08001'!$D33*'FR 08001'!$F33)</f>
        <v>161</v>
      </c>
    </row>
    <row r="34" spans="1:13" x14ac:dyDescent="0.3">
      <c r="A34" s="184">
        <v>80</v>
      </c>
      <c r="B34" s="180" t="s">
        <v>1936</v>
      </c>
      <c r="C34" s="184" t="s">
        <v>1928</v>
      </c>
      <c r="D34" s="284">
        <v>5</v>
      </c>
      <c r="E34" s="180" t="s">
        <v>627</v>
      </c>
      <c r="F34" s="184">
        <v>2.2999999999999998</v>
      </c>
      <c r="G34" s="184" t="s">
        <v>1026</v>
      </c>
      <c r="H34" s="184">
        <v>4</v>
      </c>
      <c r="I34" s="363">
        <f>IF('FR 08001'!$H34&lt;&gt;"",'FR 08001'!$D34*'FR 08001'!$F34*'FR 08001'!$H34,'FR 08001'!$D34*'FR 08001'!$F34)</f>
        <v>46</v>
      </c>
    </row>
    <row r="35" spans="1:13" x14ac:dyDescent="0.3">
      <c r="A35" s="184">
        <v>90</v>
      </c>
      <c r="B35" s="180" t="s">
        <v>1936</v>
      </c>
      <c r="C35" s="184" t="s">
        <v>1929</v>
      </c>
      <c r="D35" s="284">
        <v>5</v>
      </c>
      <c r="E35" s="180" t="s">
        <v>627</v>
      </c>
      <c r="F35" s="184">
        <v>0.52</v>
      </c>
      <c r="G35" s="184" t="s">
        <v>1026</v>
      </c>
      <c r="H35" s="184">
        <v>4</v>
      </c>
      <c r="I35" s="363">
        <f>IF('FR 08001'!$H35&lt;&gt;"",'FR 08001'!$D35*'FR 08001'!$F35*'FR 08001'!$H35,'FR 08001'!$D35*'FR 08001'!$F35)</f>
        <v>10.4</v>
      </c>
    </row>
    <row r="36" spans="1:13" x14ac:dyDescent="0.3">
      <c r="A36" s="184">
        <v>100</v>
      </c>
      <c r="B36" s="180" t="s">
        <v>1936</v>
      </c>
      <c r="C36" s="184" t="s">
        <v>1930</v>
      </c>
      <c r="D36" s="284">
        <v>5</v>
      </c>
      <c r="E36" s="180" t="s">
        <v>627</v>
      </c>
      <c r="F36" s="184">
        <v>0.52</v>
      </c>
      <c r="G36" s="184" t="s">
        <v>1026</v>
      </c>
      <c r="H36" s="184">
        <v>4</v>
      </c>
      <c r="I36" s="363">
        <f>IF('FR 08001'!$H36&lt;&gt;"",'FR 08001'!$D36*'FR 08001'!$F36*'FR 08001'!$H36,'FR 08001'!$D36*'FR 08001'!$F36)</f>
        <v>10.4</v>
      </c>
    </row>
    <row r="37" spans="1:13" x14ac:dyDescent="0.3">
      <c r="A37" s="184">
        <v>110</v>
      </c>
      <c r="B37" s="180" t="s">
        <v>1936</v>
      </c>
      <c r="C37" s="184" t="s">
        <v>1931</v>
      </c>
      <c r="D37" s="284">
        <v>5</v>
      </c>
      <c r="E37" s="180" t="s">
        <v>627</v>
      </c>
      <c r="F37" s="184">
        <v>0.62</v>
      </c>
      <c r="G37" s="184" t="s">
        <v>1026</v>
      </c>
      <c r="H37" s="184">
        <v>4</v>
      </c>
      <c r="I37" s="363">
        <f>IF('FR 08001'!$H37&lt;&gt;"",'FR 08001'!$D37*'FR 08001'!$F37*'FR 08001'!$H37,'FR 08001'!$D37*'FR 08001'!$F37)</f>
        <v>12.4</v>
      </c>
    </row>
    <row r="38" spans="1:13" x14ac:dyDescent="0.3">
      <c r="A38" s="184">
        <v>120</v>
      </c>
      <c r="B38" s="180" t="s">
        <v>1936</v>
      </c>
      <c r="C38" s="184" t="s">
        <v>1932</v>
      </c>
      <c r="D38" s="284">
        <v>5</v>
      </c>
      <c r="E38" s="180" t="s">
        <v>627</v>
      </c>
      <c r="F38" s="184">
        <v>0.62</v>
      </c>
      <c r="G38" s="184" t="s">
        <v>1026</v>
      </c>
      <c r="H38" s="184">
        <v>4</v>
      </c>
      <c r="I38" s="363">
        <f>IF('FR 08001'!$H38&lt;&gt;"",'FR 08001'!$D38*'FR 08001'!$F38*'FR 08001'!$H38,'FR 08001'!$D38*'FR 08001'!$F38)</f>
        <v>12.4</v>
      </c>
    </row>
    <row r="39" spans="1:13" x14ac:dyDescent="0.3">
      <c r="A39" s="184">
        <v>130</v>
      </c>
      <c r="B39" s="180" t="s">
        <v>1936</v>
      </c>
      <c r="C39" s="184" t="s">
        <v>1933</v>
      </c>
      <c r="D39" s="284">
        <v>5</v>
      </c>
      <c r="E39" s="180" t="s">
        <v>627</v>
      </c>
      <c r="F39" s="649">
        <v>1.1499999999999999</v>
      </c>
      <c r="G39" s="184" t="s">
        <v>1026</v>
      </c>
      <c r="H39" s="184">
        <v>4</v>
      </c>
      <c r="I39" s="363">
        <f>IF('FR 08001'!$H39&lt;&gt;"",'FR 08001'!$D39*'FR 08001'!$F39*'FR 08001'!$H39,'FR 08001'!$D39*'FR 08001'!$F39)</f>
        <v>23</v>
      </c>
    </row>
    <row r="40" spans="1:13" x14ac:dyDescent="0.3">
      <c r="A40" s="184">
        <v>140</v>
      </c>
      <c r="B40" s="180" t="s">
        <v>1936</v>
      </c>
      <c r="C40" s="184" t="s">
        <v>1934</v>
      </c>
      <c r="D40" s="284">
        <v>5</v>
      </c>
      <c r="E40" s="180" t="s">
        <v>627</v>
      </c>
      <c r="F40" s="649">
        <v>1.1499999999999999</v>
      </c>
      <c r="G40" s="184" t="s">
        <v>1026</v>
      </c>
      <c r="H40" s="184">
        <v>4</v>
      </c>
      <c r="I40" s="363">
        <f>IF('FR 08001'!$H40&lt;&gt;"",'FR 08001'!$D40*'FR 08001'!$F40*'FR 08001'!$H40,'FR 08001'!$D40*'FR 08001'!$F40)</f>
        <v>23</v>
      </c>
    </row>
    <row r="41" spans="1:13" x14ac:dyDescent="0.3">
      <c r="A41" s="184">
        <v>150</v>
      </c>
      <c r="B41" s="180" t="s">
        <v>858</v>
      </c>
      <c r="C41" s="184" t="s">
        <v>1928</v>
      </c>
      <c r="D41" s="284">
        <v>20</v>
      </c>
      <c r="E41" s="180" t="s">
        <v>627</v>
      </c>
      <c r="F41" s="184">
        <v>2.2999999999999998</v>
      </c>
      <c r="G41" s="184"/>
      <c r="H41" s="184"/>
      <c r="I41" s="363">
        <f>IF('FR 08001'!$H41&lt;&gt;"",'FR 08001'!$D41*'FR 08001'!$F41*'FR 08001'!$H41,'FR 08001'!$D41*'FR 08001'!$F41)</f>
        <v>46</v>
      </c>
    </row>
    <row r="42" spans="1:13" x14ac:dyDescent="0.3">
      <c r="A42" s="184">
        <v>160</v>
      </c>
      <c r="B42" s="180" t="s">
        <v>858</v>
      </c>
      <c r="C42" s="184" t="s">
        <v>1929</v>
      </c>
      <c r="D42" s="284">
        <v>20</v>
      </c>
      <c r="E42" s="180" t="s">
        <v>627</v>
      </c>
      <c r="F42" s="184">
        <v>0.52</v>
      </c>
      <c r="G42" s="184"/>
      <c r="H42" s="184"/>
      <c r="I42" s="363">
        <f>IF('FR 08001'!$H42&lt;&gt;"",'FR 08001'!$D42*'FR 08001'!$F42*'FR 08001'!$H42,'FR 08001'!$D42*'FR 08001'!$F42)</f>
        <v>10.4</v>
      </c>
    </row>
    <row r="43" spans="1:13" x14ac:dyDescent="0.3">
      <c r="A43" s="184">
        <v>170</v>
      </c>
      <c r="B43" s="180" t="s">
        <v>858</v>
      </c>
      <c r="C43" s="184" t="s">
        <v>1930</v>
      </c>
      <c r="D43" s="284">
        <v>20</v>
      </c>
      <c r="E43" s="180" t="s">
        <v>627</v>
      </c>
      <c r="F43" s="184">
        <v>0.52</v>
      </c>
      <c r="G43" s="184"/>
      <c r="H43" s="184"/>
      <c r="I43" s="363">
        <f>IF('FR 08001'!$H43&lt;&gt;"",'FR 08001'!$D43*'FR 08001'!$F43*'FR 08001'!$H43,'FR 08001'!$D43*'FR 08001'!$F43)</f>
        <v>10.4</v>
      </c>
      <c r="K43" s="289"/>
    </row>
    <row r="44" spans="1:13" x14ac:dyDescent="0.3">
      <c r="A44" s="184">
        <v>180</v>
      </c>
      <c r="B44" s="180" t="s">
        <v>858</v>
      </c>
      <c r="C44" s="184" t="s">
        <v>1931</v>
      </c>
      <c r="D44" s="284">
        <v>20</v>
      </c>
      <c r="E44" s="180" t="s">
        <v>627</v>
      </c>
      <c r="F44" s="184">
        <v>0.62</v>
      </c>
      <c r="G44" s="184"/>
      <c r="H44" s="184"/>
      <c r="I44" s="363">
        <f>IF('FR 08001'!$H44&lt;&gt;"",'FR 08001'!$D44*'FR 08001'!$F44*'FR 08001'!$H44,'FR 08001'!$D44*'FR 08001'!$F44)</f>
        <v>12.4</v>
      </c>
      <c r="K44" s="289"/>
      <c r="L44" s="652"/>
      <c r="M44" s="289"/>
    </row>
    <row r="45" spans="1:13" x14ac:dyDescent="0.3">
      <c r="A45" s="184">
        <v>190</v>
      </c>
      <c r="B45" s="180" t="s">
        <v>858</v>
      </c>
      <c r="C45" s="184" t="s">
        <v>1932</v>
      </c>
      <c r="D45" s="284">
        <v>20</v>
      </c>
      <c r="E45" s="180" t="s">
        <v>627</v>
      </c>
      <c r="F45" s="184">
        <v>0.62</v>
      </c>
      <c r="G45" s="184"/>
      <c r="H45" s="184"/>
      <c r="I45" s="363">
        <f>IF('FR 08001'!$H45&lt;&gt;"",'FR 08001'!$D45*'FR 08001'!$F45*'FR 08001'!$H45,'FR 08001'!$D45*'FR 08001'!$F45)</f>
        <v>12.4</v>
      </c>
      <c r="K45" s="289"/>
      <c r="L45" s="652"/>
      <c r="M45" s="289"/>
    </row>
    <row r="46" spans="1:13" x14ac:dyDescent="0.3">
      <c r="A46" s="184">
        <v>200</v>
      </c>
      <c r="B46" s="180" t="s">
        <v>858</v>
      </c>
      <c r="C46" s="184" t="s">
        <v>1933</v>
      </c>
      <c r="D46" s="284">
        <v>20</v>
      </c>
      <c r="E46" s="180" t="s">
        <v>627</v>
      </c>
      <c r="F46" s="649">
        <v>1.1499999999999999</v>
      </c>
      <c r="G46" s="184"/>
      <c r="H46" s="184"/>
      <c r="I46" s="363">
        <f>IF('FR 08001'!$H46&lt;&gt;"",'FR 08001'!$D46*'FR 08001'!$F46*'FR 08001'!$H46,'FR 08001'!$D46*'FR 08001'!$F46)</f>
        <v>23</v>
      </c>
    </row>
    <row r="47" spans="1:13" x14ac:dyDescent="0.3">
      <c r="A47" s="184">
        <v>210</v>
      </c>
      <c r="B47" s="180" t="s">
        <v>858</v>
      </c>
      <c r="C47" s="184" t="s">
        <v>1934</v>
      </c>
      <c r="D47" s="284">
        <v>20</v>
      </c>
      <c r="E47" s="180" t="s">
        <v>627</v>
      </c>
      <c r="F47" s="649">
        <v>1.1499999999999999</v>
      </c>
      <c r="G47" s="184"/>
      <c r="H47" s="184"/>
      <c r="I47" s="363">
        <f>IF('FR 08001'!$H47&lt;&gt;"",'FR 08001'!$D47*'FR 08001'!$F47*'FR 08001'!$H47,'FR 08001'!$D47*'FR 08001'!$F47)</f>
        <v>23</v>
      </c>
    </row>
    <row r="48" spans="1:13" x14ac:dyDescent="0.3">
      <c r="A48" s="184">
        <v>220</v>
      </c>
      <c r="B48" s="315" t="s">
        <v>1937</v>
      </c>
      <c r="C48" s="184" t="s">
        <v>1928</v>
      </c>
      <c r="D48" s="284">
        <v>0.7</v>
      </c>
      <c r="E48" s="180" t="s">
        <v>843</v>
      </c>
      <c r="F48" s="184">
        <v>6</v>
      </c>
      <c r="G48" s="184"/>
      <c r="H48" s="184"/>
      <c r="I48" s="363">
        <f>IF('FR 08001'!$H48&lt;&gt;"",'FR 08001'!$D48*'FR 08001'!$F48*'FR 08001'!$H48,'FR 08001'!$D48*'FR 08001'!$F48)</f>
        <v>4.1999999999999993</v>
      </c>
    </row>
    <row r="49" spans="1:9" x14ac:dyDescent="0.3">
      <c r="A49" s="184">
        <v>230</v>
      </c>
      <c r="B49" s="180" t="s">
        <v>791</v>
      </c>
      <c r="C49" s="184" t="s">
        <v>1938</v>
      </c>
      <c r="D49" s="284">
        <v>0.35</v>
      </c>
      <c r="E49" s="180" t="s">
        <v>843</v>
      </c>
      <c r="F49" s="184">
        <v>6</v>
      </c>
      <c r="G49" s="184"/>
      <c r="H49" s="184"/>
      <c r="I49" s="363">
        <f>IF('FR 08001'!$H49&lt;&gt;"",'FR 08001'!$D49*'FR 08001'!$F49*'FR 08001'!$H49,'FR 08001'!$D49*'FR 08001'!$F49)</f>
        <v>2.0999999999999996</v>
      </c>
    </row>
    <row r="50" spans="1:9" x14ac:dyDescent="0.3">
      <c r="A50" s="184">
        <v>240</v>
      </c>
      <c r="B50" s="180" t="s">
        <v>791</v>
      </c>
      <c r="C50" s="184" t="s">
        <v>1939</v>
      </c>
      <c r="D50" s="284">
        <v>0.35</v>
      </c>
      <c r="E50" s="180" t="s">
        <v>843</v>
      </c>
      <c r="F50" s="184">
        <v>8</v>
      </c>
      <c r="G50" s="184"/>
      <c r="H50" s="184"/>
      <c r="I50" s="363">
        <f>IF('FR 08001'!$H50&lt;&gt;"",'FR 08001'!$D50*'FR 08001'!$F50*'FR 08001'!$H50,'FR 08001'!$D50*'FR 08001'!$F50)</f>
        <v>2.8</v>
      </c>
    </row>
    <row r="51" spans="1:9" x14ac:dyDescent="0.3">
      <c r="A51" s="184">
        <v>250</v>
      </c>
      <c r="B51" s="180" t="s">
        <v>791</v>
      </c>
      <c r="C51" s="184" t="s">
        <v>1940</v>
      </c>
      <c r="D51" s="284">
        <v>0.35</v>
      </c>
      <c r="E51" s="180" t="s">
        <v>843</v>
      </c>
      <c r="F51" s="184">
        <v>8</v>
      </c>
      <c r="G51" s="184"/>
      <c r="H51" s="184"/>
      <c r="I51" s="363">
        <f>IF('FR 08001'!$H51&lt;&gt;"",'FR 08001'!$D51*'FR 08001'!$F51*'FR 08001'!$H51,'FR 08001'!$D51*'FR 08001'!$F51)</f>
        <v>2.8</v>
      </c>
    </row>
    <row r="52" spans="1:9" ht="28.8" x14ac:dyDescent="0.3">
      <c r="A52" s="184">
        <v>260</v>
      </c>
      <c r="B52" s="180" t="s">
        <v>1941</v>
      </c>
      <c r="C52" s="184" t="s">
        <v>1942</v>
      </c>
      <c r="D52" s="284">
        <v>0.7</v>
      </c>
      <c r="E52" s="180" t="s">
        <v>1457</v>
      </c>
      <c r="F52" s="184">
        <v>30</v>
      </c>
      <c r="G52" s="184" t="s">
        <v>1943</v>
      </c>
      <c r="H52" s="184">
        <v>2</v>
      </c>
      <c r="I52" s="363">
        <f>IF('FR 08001'!$H52&lt;&gt;"",'FR 08001'!$D52*'FR 08001'!$F52*'FR 08001'!$H52,'FR 08001'!$D52*'FR 08001'!$F52)</f>
        <v>42</v>
      </c>
    </row>
    <row r="53" spans="1:9" ht="28.8" x14ac:dyDescent="0.3">
      <c r="A53" s="184">
        <v>270</v>
      </c>
      <c r="B53" s="180" t="s">
        <v>1944</v>
      </c>
      <c r="C53" s="184" t="s">
        <v>1942</v>
      </c>
      <c r="D53" s="243">
        <v>1.05</v>
      </c>
      <c r="E53" s="180" t="s">
        <v>1457</v>
      </c>
      <c r="F53" s="184">
        <v>8</v>
      </c>
      <c r="G53" s="184" t="s">
        <v>1943</v>
      </c>
      <c r="H53" s="184">
        <v>2</v>
      </c>
      <c r="I53" s="363">
        <f>IF('FR 08001'!$H53&lt;&gt;"",'FR 08001'!$D53*'FR 08001'!$F53*'FR 08001'!$H53,'FR 08001'!$D53*'FR 08001'!$F53)</f>
        <v>16.8</v>
      </c>
    </row>
    <row r="54" spans="1:9" s="278" customFormat="1" x14ac:dyDescent="0.3">
      <c r="H54" s="650" t="s">
        <v>547</v>
      </c>
      <c r="I54" s="653">
        <f>SUM(I27:I53)</f>
        <v>1309.1000000000004</v>
      </c>
    </row>
    <row r="55" spans="1:9" x14ac:dyDescent="0.3">
      <c r="H55" s="292"/>
      <c r="I55" s="293"/>
    </row>
    <row r="56" spans="1:9" s="278" customFormat="1" x14ac:dyDescent="0.3">
      <c r="A56" s="576" t="s">
        <v>544</v>
      </c>
      <c r="B56" s="576" t="s">
        <v>6</v>
      </c>
      <c r="C56" s="576" t="s">
        <v>549</v>
      </c>
      <c r="D56" s="576" t="s">
        <v>550</v>
      </c>
      <c r="E56" s="576" t="s">
        <v>551</v>
      </c>
      <c r="F56" s="576" t="s">
        <v>28</v>
      </c>
      <c r="G56" s="576" t="s">
        <v>691</v>
      </c>
      <c r="H56" s="576" t="s">
        <v>692</v>
      </c>
      <c r="I56" s="576" t="s">
        <v>547</v>
      </c>
    </row>
    <row r="57" spans="1:9" x14ac:dyDescent="0.3">
      <c r="A57" s="184">
        <v>10</v>
      </c>
      <c r="B57" s="267" t="s">
        <v>859</v>
      </c>
      <c r="C57" s="184" t="s">
        <v>1945</v>
      </c>
      <c r="D57" s="645">
        <v>10000</v>
      </c>
      <c r="E57" s="184" t="s">
        <v>627</v>
      </c>
      <c r="F57" s="646">
        <f>J10+J11+J12+J13+J14+J15+J16</f>
        <v>6.8800000000000008</v>
      </c>
      <c r="G57" s="184">
        <v>3000</v>
      </c>
      <c r="H57" s="184">
        <v>1</v>
      </c>
      <c r="I57" s="362">
        <f>IF('FR 08001'!$G57&lt;&gt;"",D57*F57/G57*H57,"")</f>
        <v>22.933333333333337</v>
      </c>
    </row>
    <row r="58" spans="1:9" s="278" customFormat="1" x14ac:dyDescent="0.3">
      <c r="H58" s="650" t="s">
        <v>547</v>
      </c>
      <c r="I58" s="653">
        <f>SUM(I57:I57)</f>
        <v>22.933333333333337</v>
      </c>
    </row>
  </sheetData>
  <pageMargins left="0.5" right="0.5" top="0.75" bottom="0.75" header="0.3" footer="0.3"/>
  <pageSetup paperSize="9" scale="55" orientation="landscape" r:id="rId1"/>
</worksheet>
</file>

<file path=xl/worksheets/sheet1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7.6640625" style="161" customWidth="1"/>
    <col min="3" max="3" width="22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36.5546875" style="161" customWidth="1"/>
    <col min="8" max="8" width="13.88671875" style="161" bestFit="1" customWidth="1"/>
    <col min="9" max="9" width="18.332031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5546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2.3589330099999999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264</v>
      </c>
      <c r="D4" s="570" t="s">
        <v>541</v>
      </c>
      <c r="J4" s="570" t="s">
        <v>538</v>
      </c>
      <c r="M4" s="570" t="s">
        <v>539</v>
      </c>
      <c r="N4" s="336">
        <f>N1*N2</f>
        <v>4.7178660199999998</v>
      </c>
    </row>
    <row r="5" spans="1:14" x14ac:dyDescent="0.3">
      <c r="A5" s="570" t="s">
        <v>537</v>
      </c>
      <c r="B5" s="199" t="s">
        <v>1946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ht="28.8" x14ac:dyDescent="0.3">
      <c r="A10" s="184">
        <v>10</v>
      </c>
      <c r="B10" s="184" t="s">
        <v>1948</v>
      </c>
      <c r="C10" s="184" t="s">
        <v>607</v>
      </c>
      <c r="D10" s="362">
        <v>2.25</v>
      </c>
      <c r="E10" s="184">
        <v>0.113</v>
      </c>
      <c r="F10" s="184" t="s">
        <v>644</v>
      </c>
      <c r="G10" s="184">
        <v>4.2000000000000003E-2</v>
      </c>
      <c r="H10" s="268" t="s">
        <v>644</v>
      </c>
      <c r="I10" s="269" t="s">
        <v>1949</v>
      </c>
      <c r="J10" s="654">
        <f>E10*G10</f>
        <v>4.7460000000000002E-3</v>
      </c>
      <c r="K10" s="655">
        <v>1E-3</v>
      </c>
      <c r="L10" s="268">
        <v>7860</v>
      </c>
      <c r="M10" s="622">
        <v>1</v>
      </c>
      <c r="N10" s="363">
        <f>IF(J10="",D10*M10,D10*J10*K10*L10*M10)</f>
        <v>8.3933010000000016E-2</v>
      </c>
    </row>
    <row r="11" spans="1:14" s="178" customFormat="1" x14ac:dyDescent="0.3">
      <c r="A11" s="278"/>
      <c r="B11" s="278"/>
      <c r="C11" s="278"/>
      <c r="D11" s="278"/>
      <c r="E11" s="278"/>
      <c r="F11" s="278"/>
      <c r="G11" s="278"/>
      <c r="H11" s="278"/>
      <c r="I11" s="278"/>
      <c r="J11" s="278"/>
      <c r="K11" s="278"/>
      <c r="L11" s="278"/>
      <c r="M11" s="577" t="s">
        <v>547</v>
      </c>
      <c r="N11" s="579">
        <f>SUM(N10:N10)</f>
        <v>8.3933010000000016E-2</v>
      </c>
    </row>
    <row r="12" spans="1:14" x14ac:dyDescent="0.3">
      <c r="M12" s="248"/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23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37.5</v>
      </c>
      <c r="G15" s="168" t="s">
        <v>598</v>
      </c>
      <c r="H15" s="168">
        <v>3</v>
      </c>
      <c r="I15" s="323">
        <f>IF('FR 08002'!$H15&lt;&gt;"",'FR 08002'!$D15*'FR 08002'!$F15*'FR 08002'!$H15,'FR 08002'!$D15*'FR 08002'!$F15)</f>
        <v>1.125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08002'!$H16&lt;&gt;"",'FR 08002'!$D16*'FR 08002'!$F16*'FR 08002'!$H16,'FR 08002'!$D16*'FR 08002'!$F16)</f>
        <v>0.5</v>
      </c>
    </row>
    <row r="17" spans="8:9" s="178" customFormat="1" x14ac:dyDescent="0.3">
      <c r="H17" s="574" t="s">
        <v>547</v>
      </c>
      <c r="I17" s="575">
        <f>SUM(I14:I16)</f>
        <v>2.2749999999999999</v>
      </c>
    </row>
  </sheetData>
  <pageMargins left="0.7" right="0.7" top="0.75" bottom="0.75" header="0.3" footer="0.3"/>
  <pageSetup paperSize="9" scale="54" fitToHeight="0" orientation="landscape" r:id="rId1"/>
</worksheet>
</file>

<file path=xl/worksheets/sheet1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8.44140625" style="161" customWidth="1"/>
    <col min="3" max="3" width="22.8867187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2.6640625" style="161" customWidth="1"/>
    <col min="8" max="8" width="13.88671875" style="161" bestFit="1" customWidth="1"/>
    <col min="9" max="9" width="18.332031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332031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2.2329908500000002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266</v>
      </c>
      <c r="D4" s="570" t="s">
        <v>541</v>
      </c>
      <c r="J4" s="570" t="s">
        <v>538</v>
      </c>
      <c r="M4" s="570" t="s">
        <v>539</v>
      </c>
      <c r="N4" s="336">
        <f>N1*N2</f>
        <v>4.4659817000000004</v>
      </c>
    </row>
    <row r="5" spans="1:14" x14ac:dyDescent="0.3">
      <c r="A5" s="570" t="s">
        <v>537</v>
      </c>
      <c r="B5" s="199" t="s">
        <v>1951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0.105</v>
      </c>
      <c r="F10" s="168" t="s">
        <v>644</v>
      </c>
      <c r="G10" s="168">
        <v>4.2000000000000003E-2</v>
      </c>
      <c r="H10" s="219" t="s">
        <v>644</v>
      </c>
      <c r="I10" s="269" t="s">
        <v>1952</v>
      </c>
      <c r="J10" s="340">
        <f>E10*G10</f>
        <v>4.4099999999999999E-3</v>
      </c>
      <c r="K10" s="380">
        <v>1E-3</v>
      </c>
      <c r="L10" s="219">
        <v>7860</v>
      </c>
      <c r="M10" s="622">
        <v>1</v>
      </c>
      <c r="N10" s="322">
        <f>IF(J10="",D10*M10,D10*J10*K10*L10*M10)</f>
        <v>7.7990849999999987E-2</v>
      </c>
    </row>
    <row r="11" spans="1:14" s="178" customFormat="1" x14ac:dyDescent="0.3">
      <c r="M11" s="574" t="s">
        <v>547</v>
      </c>
      <c r="N11" s="575">
        <f>SUM(N10:N10)</f>
        <v>7.7990849999999987E-2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33.5</v>
      </c>
      <c r="G15" s="168" t="s">
        <v>598</v>
      </c>
      <c r="H15" s="168">
        <v>3</v>
      </c>
      <c r="I15" s="323">
        <f>IF('FR 08003'!$H15&lt;&gt;"",'FR 08003'!$D15*'FR 08003'!$F15*'FR 08003'!$H15,'FR 08003'!$D15*'FR 08003'!$F15)</f>
        <v>1.0050000000000001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08003'!$H16&lt;&gt;"",'FR 08003'!$D16*'FR 08003'!$F16*'FR 08003'!$H16,'FR 08003'!$D16*'FR 08003'!$F16)</f>
        <v>0.5</v>
      </c>
    </row>
    <row r="17" spans="8:9" s="178" customFormat="1" x14ac:dyDescent="0.3">
      <c r="H17" s="574" t="s">
        <v>547</v>
      </c>
      <c r="I17" s="575">
        <f>SUM(I14:I16)</f>
        <v>2.1550000000000002</v>
      </c>
    </row>
  </sheetData>
  <pageMargins left="0.7" right="0.7" top="0.75" bottom="0.75" header="0.3" footer="0.3"/>
  <pageSetup paperSize="9" scale="57" fitToHeight="0" orientation="landscape" r:id="rId1"/>
</worksheet>
</file>

<file path=xl/worksheets/sheet1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7" style="161" customWidth="1"/>
    <col min="3" max="3" width="20.4414062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19.5546875" style="161" customWidth="1"/>
    <col min="8" max="8" width="13.88671875" style="161" bestFit="1" customWidth="1"/>
    <col min="9" max="9" width="18.66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109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2.5346155000000001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268</v>
      </c>
      <c r="D4" s="570" t="s">
        <v>541</v>
      </c>
      <c r="J4" s="570" t="s">
        <v>538</v>
      </c>
      <c r="M4" s="570" t="s">
        <v>539</v>
      </c>
      <c r="N4" s="336">
        <f>N1*N2</f>
        <v>5.0692310000000003</v>
      </c>
    </row>
    <row r="5" spans="1:14" x14ac:dyDescent="0.3">
      <c r="A5" s="570" t="s">
        <v>537</v>
      </c>
      <c r="B5" s="199" t="s">
        <v>1953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ht="28.8" x14ac:dyDescent="0.3">
      <c r="A10" s="184">
        <v>10</v>
      </c>
      <c r="B10" s="184" t="s">
        <v>1948</v>
      </c>
      <c r="C10" s="184" t="s">
        <v>607</v>
      </c>
      <c r="D10" s="362">
        <v>2.25</v>
      </c>
      <c r="E10" s="184">
        <v>0.15</v>
      </c>
      <c r="F10" s="184" t="s">
        <v>644</v>
      </c>
      <c r="G10" s="184">
        <v>4.2000000000000003E-2</v>
      </c>
      <c r="H10" s="268" t="s">
        <v>644</v>
      </c>
      <c r="I10" s="269" t="s">
        <v>1954</v>
      </c>
      <c r="J10" s="654">
        <f>E10*G10</f>
        <v>6.3E-3</v>
      </c>
      <c r="K10" s="655">
        <v>1E-3</v>
      </c>
      <c r="L10" s="268">
        <v>7860</v>
      </c>
      <c r="M10" s="622">
        <v>1</v>
      </c>
      <c r="N10" s="363">
        <f>IF(J10="",D10*M10,D10*J10*K10*L10*M10)</f>
        <v>0.1114155</v>
      </c>
    </row>
    <row r="11" spans="1:14" s="178" customFormat="1" x14ac:dyDescent="0.3">
      <c r="A11" s="278"/>
      <c r="B11" s="278"/>
      <c r="C11" s="278"/>
      <c r="D11" s="278"/>
      <c r="E11" s="278"/>
      <c r="F11" s="278"/>
      <c r="G11" s="278"/>
      <c r="H11" s="278"/>
      <c r="I11" s="278"/>
      <c r="J11" s="278"/>
      <c r="K11" s="278"/>
      <c r="L11" s="278"/>
      <c r="M11" s="577" t="s">
        <v>547</v>
      </c>
      <c r="N11" s="575">
        <f>SUM(N10:N10)</f>
        <v>0.1114155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42.44</v>
      </c>
      <c r="G15" s="168" t="s">
        <v>598</v>
      </c>
      <c r="H15" s="168">
        <v>3</v>
      </c>
      <c r="I15" s="323">
        <f>IF('FR 08004'!$H15&lt;&gt;"",'FR 08004'!$D15*'FR 08004'!$F15*'FR 08004'!$H15,'FR 08004'!$D15*'FR 08004'!$F15)</f>
        <v>1.2732000000000001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08004'!$H16&lt;&gt;"",'FR 08004'!$D16*'FR 08004'!$F16*'FR 08004'!$H16,'FR 08004'!$D16*'FR 08004'!$F16)</f>
        <v>0.5</v>
      </c>
    </row>
    <row r="17" spans="8:9" s="178" customFormat="1" x14ac:dyDescent="0.3">
      <c r="H17" s="574" t="s">
        <v>547</v>
      </c>
      <c r="I17" s="575">
        <f>SUM(I14:I16)</f>
        <v>2.4232</v>
      </c>
    </row>
  </sheetData>
  <pageMargins left="0.7" right="0.7" top="0.75" bottom="0.75" header="0.3" footer="0.3"/>
  <pageSetup paperSize="9" scale="58" fitToHeight="0" orientation="landscape" r:id="rId1"/>
</worksheet>
</file>

<file path=xl/worksheets/sheet1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6.109375" style="161" customWidth="1"/>
    <col min="3" max="3" width="21.3320312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2.6640625" style="161" customWidth="1"/>
    <col min="8" max="8" width="13.88671875" style="161" bestFit="1" customWidth="1"/>
    <col min="9" max="9" width="19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109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N14+I25</f>
        <v>6.8294063327318533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6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1901</v>
      </c>
      <c r="D4" s="570" t="s">
        <v>541</v>
      </c>
      <c r="J4" s="570" t="s">
        <v>538</v>
      </c>
      <c r="M4" s="570" t="s">
        <v>539</v>
      </c>
      <c r="N4" s="336">
        <f>N1*N2</f>
        <v>40.97643799639112</v>
      </c>
    </row>
    <row r="5" spans="1:14" x14ac:dyDescent="0.3">
      <c r="A5" s="570" t="s">
        <v>537</v>
      </c>
      <c r="B5" s="199" t="s">
        <v>1955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1956</v>
      </c>
    </row>
    <row r="9" spans="1:14" s="1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ht="28.8" x14ac:dyDescent="0.3">
      <c r="A10" s="184">
        <v>10</v>
      </c>
      <c r="B10" s="184" t="s">
        <v>799</v>
      </c>
      <c r="C10" s="184" t="s">
        <v>1957</v>
      </c>
      <c r="D10" s="362">
        <v>4.2</v>
      </c>
      <c r="E10" s="184">
        <v>3.4000000000000002E-2</v>
      </c>
      <c r="F10" s="184" t="s">
        <v>644</v>
      </c>
      <c r="G10" s="184"/>
      <c r="H10" s="268"/>
      <c r="I10" s="269" t="s">
        <v>1958</v>
      </c>
      <c r="J10" s="654">
        <f>E10*E10*PI()/4</f>
        <v>9.0792027688745035E-4</v>
      </c>
      <c r="K10" s="655">
        <v>1.6E-2</v>
      </c>
      <c r="L10" s="268">
        <v>2710</v>
      </c>
      <c r="M10" s="622">
        <v>1</v>
      </c>
      <c r="N10" s="363">
        <f>IF(J10="",D10*M10,D10*J10*K10*L10*M10)</f>
        <v>0.16534317746452737</v>
      </c>
    </row>
    <row r="11" spans="1:14" ht="28.8" x14ac:dyDescent="0.3">
      <c r="A11" s="184">
        <v>20</v>
      </c>
      <c r="B11" s="184" t="s">
        <v>799</v>
      </c>
      <c r="C11" s="184" t="s">
        <v>1959</v>
      </c>
      <c r="D11" s="362">
        <v>4.2</v>
      </c>
      <c r="E11" s="184">
        <v>1.2E-2</v>
      </c>
      <c r="F11" s="184" t="s">
        <v>644</v>
      </c>
      <c r="G11" s="184"/>
      <c r="H11" s="268"/>
      <c r="I11" s="269" t="s">
        <v>1960</v>
      </c>
      <c r="J11" s="654">
        <f>E11*E11*PI()/4</f>
        <v>1.1309733552923255E-4</v>
      </c>
      <c r="K11" s="655">
        <v>5.0000000000000001E-3</v>
      </c>
      <c r="L11" s="268">
        <v>2710</v>
      </c>
      <c r="M11" s="622">
        <v>1</v>
      </c>
      <c r="N11" s="657">
        <f>IF(J11="",D11*M11,D11*J11*K11*L11*M11)</f>
        <v>6.4363693649686247E-3</v>
      </c>
    </row>
    <row r="12" spans="1:14" ht="28.8" x14ac:dyDescent="0.3">
      <c r="A12" s="184">
        <v>30</v>
      </c>
      <c r="B12" s="184" t="s">
        <v>1961</v>
      </c>
      <c r="C12" s="184" t="s">
        <v>1962</v>
      </c>
      <c r="D12" s="362">
        <v>2.25</v>
      </c>
      <c r="E12" s="184">
        <v>0.02</v>
      </c>
      <c r="F12" s="184" t="s">
        <v>644</v>
      </c>
      <c r="G12" s="184"/>
      <c r="H12" s="268"/>
      <c r="I12" s="269" t="s">
        <v>1963</v>
      </c>
      <c r="J12" s="654">
        <f>E12*E12*PI()/4</f>
        <v>3.1415926535897931E-4</v>
      </c>
      <c r="K12" s="655">
        <v>1.2999999999999999E-2</v>
      </c>
      <c r="L12" s="268">
        <v>7860</v>
      </c>
      <c r="M12" s="622">
        <v>1</v>
      </c>
      <c r="N12" s="363">
        <f>IF(J12="",D12*M12,D12*J12*K12*L12*M12)</f>
        <v>7.2226785902356136E-2</v>
      </c>
    </row>
    <row r="13" spans="1:14" x14ac:dyDescent="0.3">
      <c r="A13" s="184">
        <v>40</v>
      </c>
      <c r="B13" s="184" t="s">
        <v>1964</v>
      </c>
      <c r="C13" s="184" t="s">
        <v>1965</v>
      </c>
      <c r="D13" s="362">
        <v>1</v>
      </c>
      <c r="E13" s="184"/>
      <c r="F13" s="184"/>
      <c r="G13" s="184"/>
      <c r="H13" s="268"/>
      <c r="I13" s="269"/>
      <c r="J13" s="654"/>
      <c r="K13" s="655"/>
      <c r="L13" s="268"/>
      <c r="M13" s="622">
        <v>1</v>
      </c>
      <c r="N13" s="363">
        <f>IF(J13="",D13*M13,D13*J13*K13*L13*M13)</f>
        <v>1</v>
      </c>
    </row>
    <row r="14" spans="1:14" s="178" customFormat="1" x14ac:dyDescent="0.3">
      <c r="A14" s="278"/>
      <c r="B14" s="278"/>
      <c r="C14" s="278"/>
      <c r="D14" s="278"/>
      <c r="E14" s="278"/>
      <c r="F14" s="278"/>
      <c r="G14" s="278"/>
      <c r="H14" s="278"/>
      <c r="I14" s="278"/>
      <c r="J14" s="278"/>
      <c r="K14" s="278"/>
      <c r="L14" s="278"/>
      <c r="M14" s="577" t="s">
        <v>547</v>
      </c>
      <c r="N14" s="575">
        <f>SUM(N10:N13)</f>
        <v>1.244006332731852</v>
      </c>
    </row>
    <row r="16" spans="1:14" s="178" customFormat="1" x14ac:dyDescent="0.3">
      <c r="A16" s="572" t="s">
        <v>544</v>
      </c>
      <c r="B16" s="572" t="s">
        <v>548</v>
      </c>
      <c r="C16" s="572" t="s">
        <v>549</v>
      </c>
      <c r="D16" s="572" t="s">
        <v>550</v>
      </c>
      <c r="E16" s="572" t="s">
        <v>551</v>
      </c>
      <c r="F16" s="572" t="s">
        <v>28</v>
      </c>
      <c r="G16" s="572" t="s">
        <v>552</v>
      </c>
      <c r="H16" s="572" t="s">
        <v>553</v>
      </c>
      <c r="I16" s="572" t="s">
        <v>547</v>
      </c>
    </row>
    <row r="17" spans="1:9" s="248" customFormat="1" ht="28.8" x14ac:dyDescent="0.3">
      <c r="A17" s="622">
        <v>10</v>
      </c>
      <c r="B17" s="180" t="s">
        <v>589</v>
      </c>
      <c r="C17" s="622" t="s">
        <v>1966</v>
      </c>
      <c r="D17" s="323">
        <v>1.3</v>
      </c>
      <c r="E17" s="622"/>
      <c r="F17" s="622">
        <v>3</v>
      </c>
      <c r="G17" s="622"/>
      <c r="H17" s="622">
        <v>1</v>
      </c>
      <c r="I17" s="362">
        <f>D17*F17*H17</f>
        <v>3.9000000000000004</v>
      </c>
    </row>
    <row r="18" spans="1:9" s="248" customFormat="1" x14ac:dyDescent="0.3">
      <c r="A18" s="622">
        <v>20</v>
      </c>
      <c r="B18" s="180" t="s">
        <v>609</v>
      </c>
      <c r="C18" s="622" t="s">
        <v>1967</v>
      </c>
      <c r="D18" s="323">
        <v>0.04</v>
      </c>
      <c r="E18" s="622" t="s">
        <v>610</v>
      </c>
      <c r="F18" s="622">
        <v>11.48</v>
      </c>
      <c r="G18" s="622" t="s">
        <v>710</v>
      </c>
      <c r="H18" s="622">
        <v>1</v>
      </c>
      <c r="I18" s="362">
        <f t="shared" ref="I18:I24" si="0">D18*F18*H18</f>
        <v>0.45920000000000005</v>
      </c>
    </row>
    <row r="19" spans="1:9" s="248" customFormat="1" x14ac:dyDescent="0.3">
      <c r="A19" s="622">
        <v>30</v>
      </c>
      <c r="B19" s="180" t="s">
        <v>609</v>
      </c>
      <c r="C19" s="622" t="s">
        <v>1968</v>
      </c>
      <c r="D19" s="323">
        <v>0.04</v>
      </c>
      <c r="E19" s="622" t="s">
        <v>610</v>
      </c>
      <c r="F19" s="622">
        <v>0.33</v>
      </c>
      <c r="G19" s="622" t="s">
        <v>710</v>
      </c>
      <c r="H19" s="622">
        <v>1</v>
      </c>
      <c r="I19" s="362">
        <f t="shared" si="0"/>
        <v>1.3200000000000002E-2</v>
      </c>
    </row>
    <row r="20" spans="1:9" s="248" customFormat="1" x14ac:dyDescent="0.3">
      <c r="A20" s="622">
        <v>40</v>
      </c>
      <c r="B20" s="180" t="s">
        <v>609</v>
      </c>
      <c r="C20" s="622" t="s">
        <v>1969</v>
      </c>
      <c r="D20" s="323">
        <v>0.04</v>
      </c>
      <c r="E20" s="622" t="s">
        <v>610</v>
      </c>
      <c r="F20" s="622">
        <v>2.42</v>
      </c>
      <c r="G20" s="622" t="s">
        <v>829</v>
      </c>
      <c r="H20" s="622">
        <v>3.75</v>
      </c>
      <c r="I20" s="362">
        <f t="shared" si="0"/>
        <v>0.36299999999999999</v>
      </c>
    </row>
    <row r="21" spans="1:9" s="248" customFormat="1" x14ac:dyDescent="0.3">
      <c r="A21" s="622">
        <v>50</v>
      </c>
      <c r="B21" s="180" t="s">
        <v>1970</v>
      </c>
      <c r="C21" s="622" t="s">
        <v>1971</v>
      </c>
      <c r="D21" s="323">
        <v>0.1</v>
      </c>
      <c r="E21" s="622" t="s">
        <v>593</v>
      </c>
      <c r="F21" s="622">
        <v>1.1000000000000001</v>
      </c>
      <c r="G21" s="622"/>
      <c r="H21" s="622">
        <v>1</v>
      </c>
      <c r="I21" s="362">
        <f t="shared" si="0"/>
        <v>0.11000000000000001</v>
      </c>
    </row>
    <row r="22" spans="1:9" s="248" customFormat="1" x14ac:dyDescent="0.3">
      <c r="A22" s="622">
        <v>60</v>
      </c>
      <c r="B22" s="180" t="s">
        <v>1972</v>
      </c>
      <c r="C22" s="622" t="s">
        <v>1971</v>
      </c>
      <c r="D22" s="323">
        <v>0.1</v>
      </c>
      <c r="E22" s="622" t="s">
        <v>593</v>
      </c>
      <c r="F22" s="622">
        <v>1.1000000000000001</v>
      </c>
      <c r="G22" s="622"/>
      <c r="H22" s="622">
        <v>1</v>
      </c>
      <c r="I22" s="362">
        <f t="shared" si="0"/>
        <v>0.11000000000000001</v>
      </c>
    </row>
    <row r="23" spans="1:9" s="248" customFormat="1" x14ac:dyDescent="0.3">
      <c r="A23" s="622">
        <v>70</v>
      </c>
      <c r="B23" s="180" t="s">
        <v>1972</v>
      </c>
      <c r="C23" s="622" t="s">
        <v>1973</v>
      </c>
      <c r="D23" s="323">
        <v>0.1</v>
      </c>
      <c r="E23" s="622" t="s">
        <v>593</v>
      </c>
      <c r="F23" s="622">
        <v>1.1000000000000001</v>
      </c>
      <c r="G23" s="622"/>
      <c r="H23" s="622">
        <v>1</v>
      </c>
      <c r="I23" s="362">
        <f t="shared" si="0"/>
        <v>0.11000000000000001</v>
      </c>
    </row>
    <row r="24" spans="1:9" ht="28.8" x14ac:dyDescent="0.3">
      <c r="A24" s="622">
        <v>80</v>
      </c>
      <c r="B24" s="180" t="s">
        <v>1745</v>
      </c>
      <c r="C24" s="193" t="s">
        <v>1974</v>
      </c>
      <c r="D24" s="323">
        <v>0.13</v>
      </c>
      <c r="E24" s="168" t="s">
        <v>556</v>
      </c>
      <c r="F24" s="168">
        <v>4</v>
      </c>
      <c r="G24" s="168"/>
      <c r="H24" s="168">
        <v>1</v>
      </c>
      <c r="I24" s="362">
        <f t="shared" si="0"/>
        <v>0.52</v>
      </c>
    </row>
    <row r="25" spans="1:9" s="178" customFormat="1" x14ac:dyDescent="0.3">
      <c r="H25" s="574" t="s">
        <v>547</v>
      </c>
      <c r="I25" s="575">
        <f>SUM(I17:I24)</f>
        <v>5.5854000000000017</v>
      </c>
    </row>
  </sheetData>
  <pageMargins left="0.7" right="0.7" top="0.75" bottom="0.75" header="0.3" footer="0.3"/>
  <pageSetup paperSize="9" scale="57" fitToHeight="0" orientation="landscape" r:id="rId1"/>
</worksheet>
</file>

<file path=xl/worksheets/sheet1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6.109375" style="161" customWidth="1"/>
    <col min="3" max="3" width="21.3320312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2.6640625" style="161" customWidth="1"/>
    <col min="8" max="8" width="13.88671875" style="161" bestFit="1" customWidth="1"/>
    <col min="9" max="9" width="19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109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1.9922267859023564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6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1902</v>
      </c>
      <c r="D4" s="570" t="s">
        <v>541</v>
      </c>
      <c r="J4" s="570" t="s">
        <v>538</v>
      </c>
      <c r="M4" s="570" t="s">
        <v>539</v>
      </c>
      <c r="N4" s="336">
        <f>N1*N2</f>
        <v>11.953360715414139</v>
      </c>
    </row>
    <row r="5" spans="1:14" x14ac:dyDescent="0.3">
      <c r="A5" s="570" t="s">
        <v>537</v>
      </c>
      <c r="B5" s="199" t="s">
        <v>1975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ht="28.8" x14ac:dyDescent="0.3">
      <c r="A10" s="184">
        <v>10</v>
      </c>
      <c r="B10" s="184" t="s">
        <v>1976</v>
      </c>
      <c r="C10" s="184" t="s">
        <v>607</v>
      </c>
      <c r="D10" s="362">
        <v>2.25</v>
      </c>
      <c r="E10" s="184">
        <v>0.01</v>
      </c>
      <c r="F10" s="184" t="s">
        <v>644</v>
      </c>
      <c r="G10" s="184"/>
      <c r="H10" s="268"/>
      <c r="I10" s="269" t="s">
        <v>1977</v>
      </c>
      <c r="J10" s="654">
        <f>E10*E10*PI()/4</f>
        <v>7.8539816339744827E-5</v>
      </c>
      <c r="K10" s="655">
        <v>5.1999999999999998E-2</v>
      </c>
      <c r="L10" s="268">
        <v>7860</v>
      </c>
      <c r="M10" s="622">
        <v>1</v>
      </c>
      <c r="N10" s="363">
        <f>IF(J10="",D10*M10,D10*J10*K10*L10*M10)</f>
        <v>7.2226785902356136E-2</v>
      </c>
    </row>
    <row r="11" spans="1:14" s="178" customFormat="1" x14ac:dyDescent="0.3">
      <c r="A11" s="278"/>
      <c r="B11" s="278"/>
      <c r="C11" s="278"/>
      <c r="D11" s="278"/>
      <c r="E11" s="278"/>
      <c r="F11" s="278"/>
      <c r="G11" s="278"/>
      <c r="H11" s="278"/>
      <c r="I11" s="278"/>
      <c r="J11" s="278"/>
      <c r="K11" s="278"/>
      <c r="L11" s="278"/>
      <c r="M11" s="577" t="s">
        <v>547</v>
      </c>
      <c r="N11" s="575">
        <f>SUM(N10:N10)</f>
        <v>7.2226785902356136E-2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/>
      <c r="D14" s="323">
        <v>1.3</v>
      </c>
      <c r="E14" s="656"/>
      <c r="F14" s="622">
        <v>1</v>
      </c>
      <c r="G14" s="622"/>
      <c r="H14" s="622">
        <v>1</v>
      </c>
      <c r="I14" s="362">
        <f>D14*F14*H14</f>
        <v>1.3</v>
      </c>
    </row>
    <row r="15" spans="1:14" x14ac:dyDescent="0.3">
      <c r="A15" s="168">
        <v>20</v>
      </c>
      <c r="B15" s="180" t="s">
        <v>609</v>
      </c>
      <c r="C15" s="171"/>
      <c r="D15" s="323">
        <v>0.04</v>
      </c>
      <c r="E15" s="168" t="s">
        <v>610</v>
      </c>
      <c r="F15" s="168">
        <v>1.8</v>
      </c>
      <c r="G15" s="168" t="s">
        <v>829</v>
      </c>
      <c r="H15" s="168">
        <v>3.75</v>
      </c>
      <c r="I15" s="362">
        <f>D15*F15*H15</f>
        <v>0.27</v>
      </c>
    </row>
    <row r="16" spans="1:14" x14ac:dyDescent="0.3">
      <c r="A16" s="168">
        <v>30</v>
      </c>
      <c r="B16" s="180" t="s">
        <v>1978</v>
      </c>
      <c r="C16" s="171"/>
      <c r="D16" s="323">
        <v>0.1</v>
      </c>
      <c r="E16" s="168" t="s">
        <v>593</v>
      </c>
      <c r="F16" s="168">
        <v>3.5</v>
      </c>
      <c r="G16" s="168"/>
      <c r="H16" s="168">
        <v>1</v>
      </c>
      <c r="I16" s="362">
        <f>D16*F16*H16</f>
        <v>0.35000000000000003</v>
      </c>
    </row>
    <row r="17" spans="8:9" s="178" customFormat="1" x14ac:dyDescent="0.3">
      <c r="H17" s="574" t="s">
        <v>547</v>
      </c>
      <c r="I17" s="575">
        <f>SUM(I14:I16)</f>
        <v>1.9200000000000002</v>
      </c>
    </row>
  </sheetData>
  <pageMargins left="0.7" right="0.7" top="0.75" bottom="0.75" header="0.3" footer="0.3"/>
  <pageSetup paperSize="9" scale="57" fitToHeight="0" orientation="landscape" r:id="rId1"/>
</worksheet>
</file>

<file path=xl/worksheets/sheet1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6.109375" style="161" customWidth="1"/>
    <col min="3" max="3" width="21.3320312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2.6640625" style="161" customWidth="1"/>
    <col min="8" max="8" width="13.88671875" style="161" bestFit="1" customWidth="1"/>
    <col min="9" max="9" width="19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109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2.2379336200000002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270</v>
      </c>
      <c r="D4" s="570" t="s">
        <v>541</v>
      </c>
      <c r="J4" s="570" t="s">
        <v>538</v>
      </c>
      <c r="M4" s="570" t="s">
        <v>539</v>
      </c>
      <c r="N4" s="336">
        <f>N1*N2</f>
        <v>4.4758672400000004</v>
      </c>
    </row>
    <row r="5" spans="1:14" x14ac:dyDescent="0.3">
      <c r="A5" s="570" t="s">
        <v>537</v>
      </c>
      <c r="B5" s="199" t="s">
        <v>1979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ht="28.8" x14ac:dyDescent="0.3">
      <c r="A10" s="184">
        <v>10</v>
      </c>
      <c r="B10" s="184" t="s">
        <v>1948</v>
      </c>
      <c r="C10" s="184" t="s">
        <v>607</v>
      </c>
      <c r="D10" s="362">
        <v>2.25</v>
      </c>
      <c r="E10" s="184">
        <v>0.106</v>
      </c>
      <c r="F10" s="184" t="s">
        <v>644</v>
      </c>
      <c r="G10" s="184">
        <v>4.2000000000000003E-2</v>
      </c>
      <c r="H10" s="268" t="s">
        <v>644</v>
      </c>
      <c r="I10" s="269" t="s">
        <v>1980</v>
      </c>
      <c r="J10" s="654">
        <f>E10*G10</f>
        <v>4.4520000000000002E-3</v>
      </c>
      <c r="K10" s="655">
        <v>1E-3</v>
      </c>
      <c r="L10" s="268">
        <v>7860</v>
      </c>
      <c r="M10" s="622">
        <v>1</v>
      </c>
      <c r="N10" s="363">
        <f>IF(J10="",D10*M10,D10*J10*K10*L10*M10)</f>
        <v>7.8733620000000004E-2</v>
      </c>
    </row>
    <row r="11" spans="1:14" s="178" customFormat="1" x14ac:dyDescent="0.3">
      <c r="A11" s="278"/>
      <c r="B11" s="278"/>
      <c r="C11" s="278"/>
      <c r="D11" s="278"/>
      <c r="E11" s="278"/>
      <c r="F11" s="278"/>
      <c r="G11" s="278"/>
      <c r="H11" s="278"/>
      <c r="I11" s="278"/>
      <c r="J11" s="278"/>
      <c r="K11" s="278"/>
      <c r="L11" s="278"/>
      <c r="M11" s="577" t="s">
        <v>547</v>
      </c>
      <c r="N11" s="575">
        <f>SUM(N10:N10)</f>
        <v>7.8733620000000004E-2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33.64</v>
      </c>
      <c r="G15" s="168" t="s">
        <v>598</v>
      </c>
      <c r="H15" s="168">
        <v>3</v>
      </c>
      <c r="I15" s="323">
        <f>IF('FR 08007'!$H15&lt;&gt;"",'FR 08007'!$D15*'FR 08007'!$F15*'FR 08007'!$H15,'FR 08007'!$D15*'FR 08007'!$F15)</f>
        <v>1.0092000000000001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08007'!$H16&lt;&gt;"",'FR 08007'!$D16*'FR 08007'!$F16*'FR 08007'!$H16,'FR 08007'!$D16*'FR 08007'!$F16)</f>
        <v>0.5</v>
      </c>
    </row>
    <row r="17" spans="8:9" s="178" customFormat="1" x14ac:dyDescent="0.3">
      <c r="H17" s="574" t="s">
        <v>547</v>
      </c>
      <c r="I17" s="575">
        <f>SUM(I14:I16)</f>
        <v>2.1592000000000002</v>
      </c>
    </row>
  </sheetData>
  <pageMargins left="0.7" right="0.7" top="0.75" bottom="0.75" header="0.3" footer="0.3"/>
  <pageSetup paperSize="9" scale="57" fitToHeight="0" orientation="landscape" r:id="rId1"/>
</worksheet>
</file>

<file path=xl/worksheets/sheet1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7.6640625" style="161" customWidth="1"/>
    <col min="3" max="3" width="22.664062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4.109375" style="161" customWidth="1"/>
    <col min="8" max="8" width="13.88671875" style="161" bestFit="1" customWidth="1"/>
    <col min="9" max="9" width="19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20.109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2.3255896300000001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272</v>
      </c>
      <c r="D4" s="570" t="s">
        <v>541</v>
      </c>
      <c r="J4" s="570" t="s">
        <v>538</v>
      </c>
      <c r="M4" s="570" t="s">
        <v>539</v>
      </c>
      <c r="N4" s="336">
        <f>N1*N2</f>
        <v>4.6511792600000001</v>
      </c>
    </row>
    <row r="5" spans="1:14" x14ac:dyDescent="0.3">
      <c r="A5" s="570" t="s">
        <v>537</v>
      </c>
      <c r="B5" s="199" t="s">
        <v>1981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0.11899999999999999</v>
      </c>
      <c r="F10" s="168" t="s">
        <v>644</v>
      </c>
      <c r="G10" s="168">
        <v>4.2000000000000003E-2</v>
      </c>
      <c r="H10" s="219" t="s">
        <v>644</v>
      </c>
      <c r="I10" s="269" t="s">
        <v>1982</v>
      </c>
      <c r="J10" s="340">
        <f>E10*G10</f>
        <v>4.9979999999999998E-3</v>
      </c>
      <c r="K10" s="380">
        <v>1E-3</v>
      </c>
      <c r="L10" s="219">
        <v>7860</v>
      </c>
      <c r="M10" s="622">
        <v>1</v>
      </c>
      <c r="N10" s="322">
        <f>IF(J10="",D10*M10,D10*J10*K10*L10*M10)</f>
        <v>8.8389630000000011E-2</v>
      </c>
    </row>
    <row r="11" spans="1:14" s="178" customFormat="1" x14ac:dyDescent="0.3">
      <c r="M11" s="574" t="s">
        <v>547</v>
      </c>
      <c r="N11" s="575">
        <f>SUM(N10:N10)</f>
        <v>8.8389630000000011E-2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36.24</v>
      </c>
      <c r="G15" s="168" t="s">
        <v>598</v>
      </c>
      <c r="H15" s="168">
        <v>3</v>
      </c>
      <c r="I15" s="323">
        <f>IF('FR 08008'!$H15&lt;&gt;"",'FR 08008'!$D15*'FR 08008'!$F15*'FR 08008'!$H15,'FR 08008'!$D15*'FR 08008'!$F15)</f>
        <v>1.0871999999999999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08008'!$H16&lt;&gt;"",'FR 08008'!$D16*'FR 08008'!$F16*'FR 08008'!$H16,'FR 08008'!$D16*'FR 08008'!$F16)</f>
        <v>0.5</v>
      </c>
    </row>
    <row r="17" spans="8:9" s="178" customFormat="1" x14ac:dyDescent="0.3">
      <c r="H17" s="574" t="s">
        <v>547</v>
      </c>
      <c r="I17" s="575">
        <f>SUM(I14:I16)</f>
        <v>2.2372000000000001</v>
      </c>
    </row>
  </sheetData>
  <pageMargins left="0.7" right="0.7" top="0.75" bottom="0.75" header="0.3" footer="0.3"/>
  <pageSetup paperSize="9" scale="56" fitToHeight="0" orientation="landscape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7"/>
  <sheetViews>
    <sheetView showGridLines="0" workbookViewId="0"/>
  </sheetViews>
  <sheetFormatPr defaultColWidth="11.44140625" defaultRowHeight="14.4" x14ac:dyDescent="0.3"/>
  <cols>
    <col min="1" max="1" width="11.44140625" style="196"/>
    <col min="2" max="2" width="28.6640625" style="196" customWidth="1"/>
    <col min="3" max="3" width="34" style="196" customWidth="1"/>
    <col min="4" max="6" width="11.44140625" style="196"/>
    <col min="7" max="7" width="20.109375" style="196" customWidth="1"/>
    <col min="8" max="8" width="11.44140625" style="196"/>
    <col min="9" max="9" width="17.109375" style="196" customWidth="1"/>
    <col min="10" max="12" width="11.44140625" style="196"/>
    <col min="13" max="13" width="19.109375" style="196" customWidth="1"/>
    <col min="14" max="16384" width="11.44140625" style="196"/>
  </cols>
  <sheetData>
    <row r="1" spans="1:14" x14ac:dyDescent="0.3">
      <c r="A1" s="294" t="s">
        <v>523</v>
      </c>
      <c r="B1" s="248" t="s">
        <v>524</v>
      </c>
      <c r="J1" s="295" t="s">
        <v>528</v>
      </c>
      <c r="K1" s="250">
        <v>81</v>
      </c>
      <c r="M1" s="294" t="s">
        <v>546</v>
      </c>
      <c r="N1" s="251">
        <f>N11+I17</f>
        <v>2.073</v>
      </c>
    </row>
    <row r="2" spans="1:14" x14ac:dyDescent="0.3">
      <c r="A2" s="294" t="s">
        <v>532</v>
      </c>
      <c r="B2" s="248" t="s">
        <v>578</v>
      </c>
      <c r="D2" s="294" t="s">
        <v>536</v>
      </c>
      <c r="M2" s="294" t="s">
        <v>533</v>
      </c>
      <c r="N2" s="306">
        <v>1</v>
      </c>
    </row>
    <row r="3" spans="1:14" x14ac:dyDescent="0.3">
      <c r="A3" s="294" t="s">
        <v>534</v>
      </c>
      <c r="B3" s="196" t="s">
        <v>705</v>
      </c>
      <c r="D3" s="294" t="s">
        <v>538</v>
      </c>
      <c r="J3" s="294" t="s">
        <v>536</v>
      </c>
    </row>
    <row r="4" spans="1:14" x14ac:dyDescent="0.3">
      <c r="A4" s="294" t="s">
        <v>545</v>
      </c>
      <c r="B4" s="196" t="s">
        <v>59</v>
      </c>
      <c r="D4" s="294" t="s">
        <v>541</v>
      </c>
      <c r="J4" s="294" t="s">
        <v>538</v>
      </c>
      <c r="M4" s="294" t="s">
        <v>539</v>
      </c>
      <c r="N4" s="251">
        <f>N2*N1</f>
        <v>2.073</v>
      </c>
    </row>
    <row r="5" spans="1:14" x14ac:dyDescent="0.3">
      <c r="A5" s="294" t="s">
        <v>537</v>
      </c>
      <c r="B5" s="297" t="s">
        <v>58</v>
      </c>
      <c r="J5" s="294" t="s">
        <v>541</v>
      </c>
    </row>
    <row r="6" spans="1:14" x14ac:dyDescent="0.3">
      <c r="A6" s="294" t="s">
        <v>540</v>
      </c>
      <c r="B6" s="248" t="s">
        <v>36</v>
      </c>
    </row>
    <row r="7" spans="1:14" ht="27.6" customHeight="1" x14ac:dyDescent="0.3">
      <c r="A7" s="298" t="s">
        <v>542</v>
      </c>
      <c r="B7" s="196" t="s">
        <v>706</v>
      </c>
    </row>
    <row r="8" spans="1:14" x14ac:dyDescent="0.3">
      <c r="A8" s="299"/>
      <c r="B8" s="299"/>
      <c r="C8" s="299"/>
      <c r="D8" s="299"/>
      <c r="E8" s="299"/>
    </row>
    <row r="9" spans="1:14" x14ac:dyDescent="0.3">
      <c r="A9" s="300" t="s">
        <v>544</v>
      </c>
      <c r="B9" s="300" t="s">
        <v>581</v>
      </c>
      <c r="C9" s="300" t="s">
        <v>549</v>
      </c>
      <c r="D9" s="300" t="s">
        <v>550</v>
      </c>
      <c r="E9" s="300" t="s">
        <v>567</v>
      </c>
      <c r="F9" s="301" t="s">
        <v>568</v>
      </c>
      <c r="G9" s="301" t="s">
        <v>569</v>
      </c>
      <c r="H9" s="301" t="s">
        <v>570</v>
      </c>
      <c r="I9" s="301" t="s">
        <v>582</v>
      </c>
      <c r="J9" s="301" t="s">
        <v>583</v>
      </c>
      <c r="K9" s="301" t="s">
        <v>584</v>
      </c>
      <c r="L9" s="301" t="s">
        <v>585</v>
      </c>
      <c r="M9" s="301" t="s">
        <v>28</v>
      </c>
      <c r="N9" s="301" t="s">
        <v>547</v>
      </c>
    </row>
    <row r="10" spans="1:14" s="248" customFormat="1" ht="28.8" x14ac:dyDescent="0.3">
      <c r="A10" s="184">
        <v>10</v>
      </c>
      <c r="B10" s="168" t="s">
        <v>707</v>
      </c>
      <c r="C10" s="184" t="s">
        <v>607</v>
      </c>
      <c r="D10" s="307">
        <v>4.2</v>
      </c>
      <c r="E10" s="184">
        <v>70</v>
      </c>
      <c r="F10" s="184" t="s">
        <v>573</v>
      </c>
      <c r="G10" s="184">
        <v>40</v>
      </c>
      <c r="H10" s="268" t="s">
        <v>573</v>
      </c>
      <c r="I10" s="269" t="s">
        <v>708</v>
      </c>
      <c r="J10" s="274">
        <f>E10*G10/10000000</f>
        <v>2.7999999999999998E-4</v>
      </c>
      <c r="K10" s="303">
        <v>1.5E-3</v>
      </c>
      <c r="L10" s="219">
        <v>2710</v>
      </c>
      <c r="M10" s="271">
        <v>1</v>
      </c>
      <c r="N10" s="260">
        <v>0.01</v>
      </c>
    </row>
    <row r="11" spans="1:14" x14ac:dyDescent="0.3">
      <c r="A11" s="278"/>
      <c r="B11" s="278"/>
      <c r="C11" s="278"/>
      <c r="D11" s="278"/>
      <c r="E11" s="278"/>
      <c r="F11" s="278"/>
      <c r="G11" s="278"/>
      <c r="H11" s="278"/>
      <c r="I11" s="278"/>
      <c r="J11" s="278"/>
      <c r="K11" s="278"/>
      <c r="L11" s="278"/>
      <c r="M11" s="304" t="s">
        <v>547</v>
      </c>
      <c r="N11" s="305">
        <f>N10</f>
        <v>0.01</v>
      </c>
    </row>
    <row r="13" spans="1:14" x14ac:dyDescent="0.3">
      <c r="A13" s="301" t="s">
        <v>544</v>
      </c>
      <c r="B13" s="301" t="s">
        <v>548</v>
      </c>
      <c r="C13" s="301" t="s">
        <v>549</v>
      </c>
      <c r="D13" s="301" t="s">
        <v>550</v>
      </c>
      <c r="E13" s="301" t="s">
        <v>551</v>
      </c>
      <c r="F13" s="301" t="s">
        <v>28</v>
      </c>
      <c r="G13" s="301" t="s">
        <v>552</v>
      </c>
      <c r="H13" s="301" t="s">
        <v>553</v>
      </c>
      <c r="I13" s="301" t="s">
        <v>547</v>
      </c>
      <c r="J13" s="278"/>
      <c r="K13" s="278"/>
      <c r="L13" s="278"/>
      <c r="M13" s="278"/>
      <c r="N13" s="278"/>
    </row>
    <row r="14" spans="1:14" s="248" customFormat="1" ht="28.8" x14ac:dyDescent="0.3">
      <c r="A14" s="184">
        <v>10</v>
      </c>
      <c r="B14" s="180" t="s">
        <v>589</v>
      </c>
      <c r="C14" s="184" t="s">
        <v>699</v>
      </c>
      <c r="D14" s="195">
        <v>1.3</v>
      </c>
      <c r="E14" s="184" t="s">
        <v>556</v>
      </c>
      <c r="F14" s="184">
        <v>1</v>
      </c>
      <c r="G14" s="184"/>
      <c r="H14" s="184"/>
      <c r="I14" s="195">
        <f>D14*F14</f>
        <v>1.3</v>
      </c>
    </row>
    <row r="15" spans="1:14" s="248" customFormat="1" x14ac:dyDescent="0.3">
      <c r="A15" s="184">
        <v>20</v>
      </c>
      <c r="B15" s="180" t="s">
        <v>700</v>
      </c>
      <c r="C15" s="193" t="s">
        <v>709</v>
      </c>
      <c r="D15" s="195">
        <v>0.01</v>
      </c>
      <c r="E15" s="184" t="s">
        <v>593</v>
      </c>
      <c r="F15" s="184">
        <v>26.3</v>
      </c>
      <c r="G15" s="180" t="s">
        <v>710</v>
      </c>
      <c r="H15" s="267">
        <v>1</v>
      </c>
      <c r="I15" s="195">
        <f>D15*F15*H15</f>
        <v>0.26300000000000001</v>
      </c>
    </row>
    <row r="16" spans="1:14" s="248" customFormat="1" x14ac:dyDescent="0.3">
      <c r="A16" s="184">
        <v>30</v>
      </c>
      <c r="B16" s="180" t="s">
        <v>702</v>
      </c>
      <c r="C16" s="184" t="s">
        <v>711</v>
      </c>
      <c r="D16" s="195">
        <v>0.25</v>
      </c>
      <c r="E16" s="184" t="s">
        <v>704</v>
      </c>
      <c r="F16" s="184">
        <v>2</v>
      </c>
      <c r="G16" s="184"/>
      <c r="H16" s="184"/>
      <c r="I16" s="195">
        <f>D16*F16</f>
        <v>0.5</v>
      </c>
    </row>
    <row r="17" spans="1:14" x14ac:dyDescent="0.3">
      <c r="A17" s="278"/>
      <c r="B17" s="278"/>
      <c r="C17" s="278"/>
      <c r="D17" s="278"/>
      <c r="E17" s="278"/>
      <c r="F17" s="278"/>
      <c r="G17" s="278"/>
      <c r="H17" s="304" t="s">
        <v>547</v>
      </c>
      <c r="I17" s="305">
        <f>SUM(I14:I16)</f>
        <v>2.0630000000000002</v>
      </c>
      <c r="J17" s="278"/>
      <c r="K17" s="278"/>
      <c r="L17" s="278"/>
      <c r="M17" s="278"/>
      <c r="N17" s="278"/>
    </row>
  </sheetData>
  <pageMargins left="0.7" right="0.7" top="0.75" bottom="0.75" header="0.3" footer="0.3"/>
  <pageSetup paperSize="9" scale="59" fitToHeight="0" orientation="landscape" r:id="rId1"/>
</worksheet>
</file>

<file path=xl/worksheets/sheet1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2.33203125" style="161" customWidth="1"/>
    <col min="3" max="3" width="22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1" style="161" customWidth="1"/>
    <col min="8" max="8" width="13.88671875" style="161" bestFit="1" customWidth="1"/>
    <col min="9" max="9" width="20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2.2177053099999999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274</v>
      </c>
      <c r="D4" s="570" t="s">
        <v>541</v>
      </c>
      <c r="J4" s="570" t="s">
        <v>538</v>
      </c>
      <c r="M4" s="570" t="s">
        <v>539</v>
      </c>
      <c r="N4" s="336">
        <f>N1*N2</f>
        <v>4.4354106199999999</v>
      </c>
    </row>
    <row r="5" spans="1:14" x14ac:dyDescent="0.3">
      <c r="A5" s="570" t="s">
        <v>537</v>
      </c>
      <c r="B5" s="199" t="s">
        <v>1983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0.10299999999999999</v>
      </c>
      <c r="F10" s="168" t="s">
        <v>644</v>
      </c>
      <c r="G10" s="168">
        <v>4.2000000000000003E-2</v>
      </c>
      <c r="H10" s="219" t="s">
        <v>644</v>
      </c>
      <c r="I10" s="269" t="s">
        <v>1984</v>
      </c>
      <c r="J10" s="340">
        <f>E10*G10</f>
        <v>4.326E-3</v>
      </c>
      <c r="K10" s="380">
        <v>1E-3</v>
      </c>
      <c r="L10" s="219">
        <v>7860</v>
      </c>
      <c r="M10" s="622">
        <v>1</v>
      </c>
      <c r="N10" s="322">
        <f>IF(J10="",D10*M10,D10*J10*K10*L10*M10)</f>
        <v>7.6505309999999993E-2</v>
      </c>
    </row>
    <row r="11" spans="1:14" s="178" customFormat="1" x14ac:dyDescent="0.3">
      <c r="M11" s="574" t="s">
        <v>547</v>
      </c>
      <c r="N11" s="575">
        <f>SUM(N10:N10)</f>
        <v>7.6505309999999993E-2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33.04</v>
      </c>
      <c r="G15" s="168" t="s">
        <v>598</v>
      </c>
      <c r="H15" s="168">
        <v>3</v>
      </c>
      <c r="I15" s="323">
        <f>IF('FR 08009'!$H15&lt;&gt;"",'FR 08009'!$D15*'FR 08009'!$F15*'FR 08009'!$H15,'FR 08009'!$D15*'FR 08009'!$F15)</f>
        <v>0.99119999999999986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08009'!$H16&lt;&gt;"",'FR 08009'!$D16*'FR 08009'!$F16*'FR 08009'!$H16,'FR 08009'!$D16*'FR 08009'!$F16)</f>
        <v>0.5</v>
      </c>
    </row>
    <row r="17" spans="8:9" s="178" customFormat="1" x14ac:dyDescent="0.3">
      <c r="H17" s="574" t="s">
        <v>547</v>
      </c>
      <c r="I17" s="575">
        <f>SUM(I14:I16)</f>
        <v>2.1412</v>
      </c>
    </row>
  </sheetData>
  <pageMargins left="0.7" right="0.7" top="0.75" bottom="0.75" header="0.3" footer="0.3"/>
  <pageSetup paperSize="9" scale="56" fitToHeight="0" orientation="landscape" r:id="rId1"/>
</worksheet>
</file>

<file path=xl/worksheets/sheet1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1" style="161" customWidth="1"/>
    <col min="3" max="3" width="24.3320312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4.6640625" style="161" customWidth="1"/>
    <col min="8" max="8" width="13.88671875" style="161" bestFit="1" customWidth="1"/>
    <col min="9" max="9" width="18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441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2.2520191600000001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276</v>
      </c>
      <c r="D4" s="570" t="s">
        <v>541</v>
      </c>
      <c r="J4" s="570" t="s">
        <v>538</v>
      </c>
      <c r="M4" s="570" t="s">
        <v>539</v>
      </c>
      <c r="N4" s="336">
        <f>N1*N2</f>
        <v>4.5040383200000003</v>
      </c>
    </row>
    <row r="5" spans="1:14" x14ac:dyDescent="0.3">
      <c r="A5" s="570" t="s">
        <v>537</v>
      </c>
      <c r="B5" s="199" t="s">
        <v>1985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0.108</v>
      </c>
      <c r="F10" s="168" t="s">
        <v>644</v>
      </c>
      <c r="G10" s="168">
        <v>4.2000000000000003E-2</v>
      </c>
      <c r="H10" s="219" t="s">
        <v>644</v>
      </c>
      <c r="I10" s="269" t="s">
        <v>1986</v>
      </c>
      <c r="J10" s="340">
        <f>E10*G10</f>
        <v>4.5360000000000001E-3</v>
      </c>
      <c r="K10" s="380">
        <v>1E-3</v>
      </c>
      <c r="L10" s="219">
        <v>7860</v>
      </c>
      <c r="M10" s="622">
        <v>1</v>
      </c>
      <c r="N10" s="322">
        <f>IF(J10="",D10*M10,D10*J10*K10*L10*M10)</f>
        <v>8.0219159999999998E-2</v>
      </c>
    </row>
    <row r="11" spans="1:14" s="178" customFormat="1" x14ac:dyDescent="0.3">
      <c r="M11" s="574" t="s">
        <v>547</v>
      </c>
      <c r="N11" s="588">
        <f>SUM(N10:N10)</f>
        <v>8.0219159999999998E-2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34.06</v>
      </c>
      <c r="G15" s="168" t="s">
        <v>598</v>
      </c>
      <c r="H15" s="168">
        <v>3</v>
      </c>
      <c r="I15" s="323">
        <f>IF('FR 08010'!$H15&lt;&gt;"",'FR 08010'!$D15*'FR 08010'!$F15*'FR 08010'!$H15,'FR 08010'!$D15*'FR 08010'!$F15)</f>
        <v>1.0218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08010'!$H16&lt;&gt;"",'FR 08010'!$D16*'FR 08010'!$F16*'FR 08010'!$H16,'FR 08010'!$D16*'FR 08010'!$F16)</f>
        <v>0.5</v>
      </c>
    </row>
    <row r="17" spans="8:9" s="178" customFormat="1" x14ac:dyDescent="0.3">
      <c r="H17" s="574" t="s">
        <v>547</v>
      </c>
      <c r="I17" s="588">
        <f>SUM(I14:I16)</f>
        <v>2.1718000000000002</v>
      </c>
    </row>
  </sheetData>
  <pageMargins left="0.7" right="0.7" top="0.75" bottom="0.75" header="0.3" footer="0.3"/>
  <pageSetup paperSize="9" scale="55" fitToHeight="0" orientation="landscape" r:id="rId1"/>
</worksheet>
</file>

<file path=xl/worksheets/sheet1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6.88671875" style="161" customWidth="1"/>
    <col min="3" max="3" width="2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2" style="161" customWidth="1"/>
    <col min="8" max="8" width="13.88671875" style="161" bestFit="1" customWidth="1"/>
    <col min="9" max="9" width="15.4414062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2.0969354500000001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277</v>
      </c>
      <c r="D4" s="570" t="s">
        <v>541</v>
      </c>
      <c r="J4" s="570" t="s">
        <v>538</v>
      </c>
      <c r="M4" s="570" t="s">
        <v>539</v>
      </c>
      <c r="N4" s="336">
        <f>N1*N2</f>
        <v>4.1938709000000003</v>
      </c>
    </row>
    <row r="5" spans="1:14" x14ac:dyDescent="0.3">
      <c r="A5" s="570" t="s">
        <v>537</v>
      </c>
      <c r="B5" s="199" t="s">
        <v>1987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8.5000000000000006E-2</v>
      </c>
      <c r="F10" s="168" t="s">
        <v>644</v>
      </c>
      <c r="G10" s="168">
        <v>4.2000000000000003E-2</v>
      </c>
      <c r="H10" s="219" t="s">
        <v>644</v>
      </c>
      <c r="I10" s="269" t="s">
        <v>1988</v>
      </c>
      <c r="J10" s="340">
        <f>E10*G10</f>
        <v>3.5700000000000007E-3</v>
      </c>
      <c r="K10" s="380">
        <v>1E-3</v>
      </c>
      <c r="L10" s="219">
        <v>7860</v>
      </c>
      <c r="M10" s="622">
        <v>1</v>
      </c>
      <c r="N10" s="322">
        <f>IF(J10="",D10*M10,D10*J10*K10*L10*M10)</f>
        <v>6.313545000000001E-2</v>
      </c>
    </row>
    <row r="11" spans="1:14" s="178" customFormat="1" x14ac:dyDescent="0.3">
      <c r="M11" s="574" t="s">
        <v>547</v>
      </c>
      <c r="N11" s="575">
        <f>SUM(N10:N10)</f>
        <v>6.313545000000001E-2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29.46</v>
      </c>
      <c r="G15" s="168" t="s">
        <v>598</v>
      </c>
      <c r="H15" s="168">
        <v>3</v>
      </c>
      <c r="I15" s="323">
        <f>IF('FR 08011'!$H15&lt;&gt;"",'FR 08011'!$D15*'FR 08011'!$F15*'FR 08011'!$H15,'FR 08011'!$D15*'FR 08011'!$F15)</f>
        <v>0.88380000000000014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08011'!$H16&lt;&gt;"",'FR 08011'!$D16*'FR 08011'!$F16*'FR 08011'!$H16,'FR 08011'!$D16*'FR 08011'!$F16)</f>
        <v>0.5</v>
      </c>
    </row>
    <row r="17" spans="8:9" s="178" customFormat="1" x14ac:dyDescent="0.3">
      <c r="H17" s="574" t="s">
        <v>547</v>
      </c>
      <c r="I17" s="575">
        <f>SUM(I14:I16)</f>
        <v>2.0338000000000003</v>
      </c>
    </row>
  </sheetData>
  <pageMargins left="0.7" right="0.7" top="0.75" bottom="0.75" header="0.3" footer="0.3"/>
  <pageSetup paperSize="9" scale="57" fitToHeight="0" orientation="landscape" r:id="rId1"/>
</worksheet>
</file>

<file path=xl/worksheets/sheet1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5.88671875" style="161" customWidth="1"/>
    <col min="3" max="3" width="22.10937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3.6640625" style="161" customWidth="1"/>
    <col min="8" max="8" width="13.88671875" style="161" bestFit="1" customWidth="1"/>
    <col min="9" max="9" width="17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20.109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2.136701977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278</v>
      </c>
      <c r="D4" s="570" t="s">
        <v>541</v>
      </c>
      <c r="J4" s="570" t="s">
        <v>538</v>
      </c>
      <c r="M4" s="570" t="s">
        <v>539</v>
      </c>
      <c r="N4" s="336">
        <f>N1*N2</f>
        <v>4.2734039539999999</v>
      </c>
    </row>
    <row r="5" spans="1:14" x14ac:dyDescent="0.3">
      <c r="A5" s="570" t="s">
        <v>537</v>
      </c>
      <c r="B5" s="199" t="s">
        <v>1989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1.01E-2</v>
      </c>
      <c r="F10" s="168" t="s">
        <v>644</v>
      </c>
      <c r="G10" s="168">
        <v>4.2000000000000003E-2</v>
      </c>
      <c r="H10" s="219" t="s">
        <v>644</v>
      </c>
      <c r="I10" s="269" t="s">
        <v>1990</v>
      </c>
      <c r="J10" s="340">
        <f>E10*G10</f>
        <v>4.2420000000000001E-4</v>
      </c>
      <c r="K10" s="380">
        <v>1E-3</v>
      </c>
      <c r="L10" s="219">
        <v>7860</v>
      </c>
      <c r="M10" s="622">
        <v>1</v>
      </c>
      <c r="N10" s="322">
        <f>IF(J10="",D10*M10,D10*J10*K10*L10*M10)</f>
        <v>7.501977E-3</v>
      </c>
    </row>
    <row r="11" spans="1:14" s="178" customFormat="1" x14ac:dyDescent="0.3">
      <c r="M11" s="574" t="s">
        <v>547</v>
      </c>
      <c r="N11" s="575">
        <f>SUM(N10:N10)</f>
        <v>7.501977E-3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32.64</v>
      </c>
      <c r="G15" s="168" t="s">
        <v>598</v>
      </c>
      <c r="H15" s="168">
        <v>3</v>
      </c>
      <c r="I15" s="323">
        <f>IF('FR 08012'!$H15&lt;&gt;"",'FR 08012'!$D15*'FR 08012'!$F15*'FR 08012'!$H15,'FR 08012'!$D15*'FR 08012'!$F15)</f>
        <v>0.97920000000000007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08012'!$H16&lt;&gt;"",'FR 08012'!$D16*'FR 08012'!$F16*'FR 08012'!$H16,'FR 08012'!$D16*'FR 08012'!$F16)</f>
        <v>0.5</v>
      </c>
    </row>
    <row r="17" spans="8:9" s="178" customFormat="1" x14ac:dyDescent="0.3">
      <c r="H17" s="574" t="s">
        <v>547</v>
      </c>
      <c r="I17" s="575">
        <f>SUM(I14:I16)</f>
        <v>2.1292</v>
      </c>
    </row>
  </sheetData>
  <pageMargins left="0.7" right="0.7" top="0.75" bottom="0.75" header="0.3" footer="0.3"/>
  <pageSetup paperSize="9" scale="57" fitToHeight="0" orientation="landscape" r:id="rId1"/>
</worksheet>
</file>

<file path=xl/worksheets/sheet1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3.33203125" style="161" customWidth="1"/>
    <col min="3" max="3" width="21.88671875" style="161" customWidth="1"/>
    <col min="4" max="4" width="13.44140625" style="161" bestFit="1" customWidth="1"/>
    <col min="5" max="5" width="14.33203125" style="161" customWidth="1"/>
    <col min="6" max="6" width="12" style="161" bestFit="1" customWidth="1"/>
    <col min="7" max="7" width="19.6640625" style="161" customWidth="1"/>
    <col min="8" max="8" width="13.88671875" style="161" bestFit="1" customWidth="1"/>
    <col min="9" max="9" width="15.4414062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2.1857914599999999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279</v>
      </c>
      <c r="D4" s="570" t="s">
        <v>541</v>
      </c>
      <c r="J4" s="570" t="s">
        <v>538</v>
      </c>
      <c r="M4" s="570" t="s">
        <v>539</v>
      </c>
      <c r="N4" s="336">
        <f>N1*N2</f>
        <v>4.3715829199999998</v>
      </c>
    </row>
    <row r="5" spans="1:14" x14ac:dyDescent="0.3">
      <c r="A5" s="570" t="s">
        <v>537</v>
      </c>
      <c r="B5" s="199" t="s">
        <v>1991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1948</v>
      </c>
      <c r="C10" s="168"/>
      <c r="D10" s="323">
        <v>2.25</v>
      </c>
      <c r="E10" s="168">
        <v>9.8000000000000004E-2</v>
      </c>
      <c r="F10" s="168" t="s">
        <v>644</v>
      </c>
      <c r="G10" s="168">
        <v>4.2000000000000003E-2</v>
      </c>
      <c r="H10" s="219" t="s">
        <v>644</v>
      </c>
      <c r="I10" s="269" t="s">
        <v>1992</v>
      </c>
      <c r="J10" s="340">
        <f>E10*G10</f>
        <v>4.1160000000000007E-3</v>
      </c>
      <c r="K10" s="380">
        <v>1E-3</v>
      </c>
      <c r="L10" s="219">
        <v>7860</v>
      </c>
      <c r="M10" s="622">
        <v>1</v>
      </c>
      <c r="N10" s="322">
        <f>IF(J10="",D10*M10,D10*J10*K10*L10*M10)</f>
        <v>7.2791460000000016E-2</v>
      </c>
    </row>
    <row r="11" spans="1:14" s="178" customFormat="1" x14ac:dyDescent="0.3">
      <c r="M11" s="574" t="s">
        <v>547</v>
      </c>
      <c r="N11" s="575">
        <f>SUM(N10:N10)</f>
        <v>7.2791460000000016E-2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32.1</v>
      </c>
      <c r="G15" s="168" t="s">
        <v>598</v>
      </c>
      <c r="H15" s="168">
        <v>3</v>
      </c>
      <c r="I15" s="323">
        <f>IF('FR 08013'!$H15&lt;&gt;"",'FR 08013'!$D15*'FR 08013'!$F15*'FR 08013'!$H15,'FR 08013'!$D15*'FR 08013'!$F15)</f>
        <v>0.96300000000000008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08013'!$H16&lt;&gt;"",'FR 08013'!$D16*'FR 08013'!$F16*'FR 08013'!$H16,'FR 08013'!$D16*'FR 08013'!$F16)</f>
        <v>0.5</v>
      </c>
    </row>
    <row r="17" spans="8:9" s="178" customFormat="1" x14ac:dyDescent="0.3">
      <c r="H17" s="574" t="s">
        <v>547</v>
      </c>
      <c r="I17" s="575">
        <f>SUM(I14:I16)</f>
        <v>2.113</v>
      </c>
    </row>
  </sheetData>
  <pageMargins left="0.7" right="0.7" top="0.75" bottom="0.75" header="0.3" footer="0.3"/>
  <pageSetup paperSize="9" scale="61" fitToHeight="0" orientation="landscape" r:id="rId1"/>
</worksheet>
</file>

<file path=xl/worksheets/sheet1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9.6640625" style="161" customWidth="1"/>
    <col min="3" max="3" width="20.4414062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4.5546875" style="161" customWidth="1"/>
    <col min="8" max="8" width="13.88671875" style="161" bestFit="1" customWidth="1"/>
    <col min="9" max="9" width="15.4414062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441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2.8570684599999998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280</v>
      </c>
      <c r="D4" s="570" t="s">
        <v>541</v>
      </c>
      <c r="J4" s="570" t="s">
        <v>538</v>
      </c>
      <c r="M4" s="570" t="s">
        <v>539</v>
      </c>
      <c r="N4" s="336">
        <f>N1*N2</f>
        <v>5.7141369199999996</v>
      </c>
    </row>
    <row r="5" spans="1:14" x14ac:dyDescent="0.3">
      <c r="A5" s="570" t="s">
        <v>537</v>
      </c>
      <c r="B5" s="199" t="s">
        <v>1993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1948</v>
      </c>
      <c r="C10" s="168"/>
      <c r="D10" s="323">
        <v>2.25</v>
      </c>
      <c r="E10" s="168">
        <v>0.19800000000000001</v>
      </c>
      <c r="F10" s="168" t="s">
        <v>644</v>
      </c>
      <c r="G10" s="168">
        <v>4.2000000000000003E-2</v>
      </c>
      <c r="H10" s="219" t="s">
        <v>644</v>
      </c>
      <c r="I10" s="269" t="s">
        <v>1994</v>
      </c>
      <c r="J10" s="340">
        <f>E10*G10</f>
        <v>8.3160000000000005E-3</v>
      </c>
      <c r="K10" s="380">
        <v>1E-3</v>
      </c>
      <c r="L10" s="219">
        <v>7860</v>
      </c>
      <c r="M10" s="622">
        <v>1</v>
      </c>
      <c r="N10" s="322">
        <f>IF(J10="",D10*M10,D10*J10*K10*L10*M10)</f>
        <v>0.14706846000000001</v>
      </c>
    </row>
    <row r="11" spans="1:14" s="178" customFormat="1" x14ac:dyDescent="0.3">
      <c r="M11" s="574" t="s">
        <v>547</v>
      </c>
      <c r="N11" s="575">
        <f>SUM(N10:N10)</f>
        <v>0.14706846000000001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52</v>
      </c>
      <c r="G15" s="168" t="s">
        <v>598</v>
      </c>
      <c r="H15" s="168">
        <v>3</v>
      </c>
      <c r="I15" s="323">
        <f>IF('FR 08014'!$H15&lt;&gt;"",'FR 08014'!$D15*'FR 08014'!$F15*'FR 08014'!$H15,'FR 08014'!$D15*'FR 08014'!$F15)</f>
        <v>1.56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08014'!$H16&lt;&gt;"",'FR 08014'!$D16*'FR 08014'!$F16*'FR 08014'!$H16,'FR 08014'!$D16*'FR 08014'!$F16)</f>
        <v>0.5</v>
      </c>
    </row>
    <row r="17" spans="8:9" s="178" customFormat="1" x14ac:dyDescent="0.3">
      <c r="H17" s="574" t="s">
        <v>547</v>
      </c>
      <c r="I17" s="575">
        <f>SUM(I14:I16)</f>
        <v>2.71</v>
      </c>
    </row>
  </sheetData>
  <pageMargins left="0.7" right="0.7" top="0.75" bottom="0.75" header="0.3" footer="0.3"/>
  <pageSetup paperSize="9" scale="57" fitToHeight="0" orientation="landscape" r:id="rId1"/>
</worksheet>
</file>

<file path=xl/worksheets/sheet1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6" style="161" customWidth="1"/>
    <col min="3" max="3" width="20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1.88671875" style="161" customWidth="1"/>
    <col min="8" max="8" width="13.88671875" style="161" bestFit="1" customWidth="1"/>
    <col min="9" max="9" width="15.4414062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441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2.3997601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281</v>
      </c>
      <c r="D4" s="570" t="s">
        <v>541</v>
      </c>
      <c r="J4" s="570" t="s">
        <v>538</v>
      </c>
      <c r="M4" s="570" t="s">
        <v>539</v>
      </c>
      <c r="N4" s="336">
        <f>N1*N2</f>
        <v>4.7995201999999999</v>
      </c>
    </row>
    <row r="5" spans="1:14" x14ac:dyDescent="0.3">
      <c r="A5" s="570" t="s">
        <v>537</v>
      </c>
      <c r="B5" s="199" t="s">
        <v>1995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1947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ht="28.8" x14ac:dyDescent="0.3">
      <c r="A10" s="168">
        <v>10</v>
      </c>
      <c r="B10" s="168" t="s">
        <v>1948</v>
      </c>
      <c r="C10" s="168"/>
      <c r="D10" s="323">
        <v>2.25</v>
      </c>
      <c r="E10" s="168">
        <v>0.13</v>
      </c>
      <c r="F10" s="168" t="s">
        <v>644</v>
      </c>
      <c r="G10" s="168">
        <v>4.2000000000000003E-2</v>
      </c>
      <c r="H10" s="219" t="s">
        <v>644</v>
      </c>
      <c r="I10" s="269" t="s">
        <v>1996</v>
      </c>
      <c r="J10" s="340">
        <f>E10*G10</f>
        <v>5.4600000000000004E-3</v>
      </c>
      <c r="K10" s="380">
        <v>1E-3</v>
      </c>
      <c r="L10" s="219">
        <v>7860</v>
      </c>
      <c r="M10" s="622">
        <v>1</v>
      </c>
      <c r="N10" s="322">
        <f>IF(J10="",D10*M10,D10*J10*K10*L10*M10)</f>
        <v>9.656010000000001E-2</v>
      </c>
    </row>
    <row r="11" spans="1:14" s="178" customFormat="1" x14ac:dyDescent="0.3">
      <c r="M11" s="574" t="s">
        <v>547</v>
      </c>
      <c r="N11" s="575">
        <f>SUM(N10:N10)</f>
        <v>9.656010000000001E-2</v>
      </c>
    </row>
    <row r="13" spans="1:14" s="178" customFormat="1" x14ac:dyDescent="0.3">
      <c r="A13" s="572" t="s">
        <v>544</v>
      </c>
      <c r="B13" s="572" t="s">
        <v>548</v>
      </c>
      <c r="C13" s="572" t="s">
        <v>549</v>
      </c>
      <c r="D13" s="572" t="s">
        <v>550</v>
      </c>
      <c r="E13" s="572" t="s">
        <v>551</v>
      </c>
      <c r="F13" s="572" t="s">
        <v>28</v>
      </c>
      <c r="G13" s="572" t="s">
        <v>552</v>
      </c>
      <c r="H13" s="572" t="s">
        <v>553</v>
      </c>
      <c r="I13" s="572" t="s">
        <v>547</v>
      </c>
    </row>
    <row r="14" spans="1:14" s="248" customFormat="1" ht="28.8" x14ac:dyDescent="0.3">
      <c r="A14" s="622">
        <v>10</v>
      </c>
      <c r="B14" s="315" t="s">
        <v>589</v>
      </c>
      <c r="C14" s="622" t="s">
        <v>1950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08002'!$H14&lt;&gt;"",'FR 08002'!$D14*'FR 08002'!$F14*'FR 08002'!$H14,'FR 08002'!$D14*'FR 08002'!$F14)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38.44</v>
      </c>
      <c r="G15" s="168" t="s">
        <v>598</v>
      </c>
      <c r="H15" s="168">
        <v>3</v>
      </c>
      <c r="I15" s="323">
        <f>IF('FR 08015'!$H15&lt;&gt;"",'FR 08015'!$D15*'FR 08015'!$F15*'FR 08015'!$H15,'FR 08015'!$D15*'FR 08015'!$F15)</f>
        <v>1.1532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IF('FR 08015'!$H16&lt;&gt;"",'FR 08015'!$D16*'FR 08015'!$F16*'FR 08015'!$H16,'FR 08015'!$D16*'FR 08015'!$F16)</f>
        <v>0.5</v>
      </c>
    </row>
    <row r="17" spans="8:9" s="178" customFormat="1" x14ac:dyDescent="0.3">
      <c r="H17" s="574" t="s">
        <v>547</v>
      </c>
      <c r="I17" s="575">
        <f>SUM(I14:I16)</f>
        <v>2.3031999999999999</v>
      </c>
    </row>
  </sheetData>
  <pageMargins left="0.7" right="0.7" top="0.75" bottom="0.75" header="0.3" footer="0.3"/>
  <pageSetup paperSize="9" scale="59" fitToHeight="0" orientation="landscape" r:id="rId1"/>
</worksheet>
</file>

<file path=xl/worksheets/sheet1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7"/>
  <sheetViews>
    <sheetView showGridLines="0" workbookViewId="0"/>
  </sheetViews>
  <sheetFormatPr defaultColWidth="16" defaultRowHeight="14.4" x14ac:dyDescent="0.3"/>
  <cols>
    <col min="1" max="1" width="16" style="248" customWidth="1"/>
    <col min="2" max="2" width="28.5546875" style="248" customWidth="1"/>
    <col min="3" max="3" width="20.44140625" style="248" customWidth="1"/>
    <col min="4" max="12" width="16" style="248" customWidth="1"/>
    <col min="13" max="13" width="23.33203125" style="248" customWidth="1"/>
    <col min="14" max="16384" width="16" style="248"/>
  </cols>
  <sheetData>
    <row r="1" spans="1:14" x14ac:dyDescent="0.3">
      <c r="A1" s="602" t="s">
        <v>523</v>
      </c>
      <c r="B1" s="248" t="s">
        <v>524</v>
      </c>
      <c r="J1" s="603" t="s">
        <v>528</v>
      </c>
      <c r="K1" s="250">
        <v>81</v>
      </c>
      <c r="M1" s="602" t="s">
        <v>546</v>
      </c>
      <c r="N1" s="364">
        <f>N12+I21+I25</f>
        <v>6.1588639033333319</v>
      </c>
    </row>
    <row r="2" spans="1:14" x14ac:dyDescent="0.3">
      <c r="A2" s="602" t="s">
        <v>532</v>
      </c>
      <c r="B2" s="248" t="s">
        <v>1418</v>
      </c>
      <c r="D2" s="602" t="s">
        <v>536</v>
      </c>
      <c r="M2" s="602" t="s">
        <v>533</v>
      </c>
      <c r="N2" s="296">
        <v>2</v>
      </c>
    </row>
    <row r="3" spans="1:14" x14ac:dyDescent="0.3">
      <c r="A3" s="602" t="s">
        <v>534</v>
      </c>
      <c r="B3" s="248" t="s">
        <v>261</v>
      </c>
      <c r="D3" s="602" t="s">
        <v>538</v>
      </c>
      <c r="J3" s="602" t="s">
        <v>536</v>
      </c>
    </row>
    <row r="4" spans="1:14" x14ac:dyDescent="0.3">
      <c r="A4" s="602" t="s">
        <v>545</v>
      </c>
      <c r="B4" s="319" t="s">
        <v>282</v>
      </c>
      <c r="D4" s="602" t="s">
        <v>541</v>
      </c>
      <c r="J4" s="602" t="s">
        <v>538</v>
      </c>
      <c r="M4" s="602" t="s">
        <v>539</v>
      </c>
      <c r="N4" s="364">
        <f>N1*N2</f>
        <v>12.317727806666664</v>
      </c>
    </row>
    <row r="5" spans="1:14" x14ac:dyDescent="0.3">
      <c r="A5" s="602" t="s">
        <v>537</v>
      </c>
      <c r="B5" s="199" t="s">
        <v>1997</v>
      </c>
      <c r="J5" s="602" t="s">
        <v>541</v>
      </c>
    </row>
    <row r="6" spans="1:14" x14ac:dyDescent="0.3">
      <c r="A6" s="602" t="s">
        <v>540</v>
      </c>
      <c r="B6" s="161" t="s">
        <v>36</v>
      </c>
    </row>
    <row r="7" spans="1:14" x14ac:dyDescent="0.3">
      <c r="A7" s="602" t="s">
        <v>542</v>
      </c>
      <c r="B7" s="161" t="s">
        <v>1947</v>
      </c>
    </row>
    <row r="9" spans="1:14" s="2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ht="28.8" x14ac:dyDescent="0.3">
      <c r="A10" s="184">
        <v>10</v>
      </c>
      <c r="B10" s="184" t="s">
        <v>1948</v>
      </c>
      <c r="C10" s="184" t="s">
        <v>607</v>
      </c>
      <c r="D10" s="362">
        <v>2.25</v>
      </c>
      <c r="E10" s="184">
        <v>0.14099999999999999</v>
      </c>
      <c r="F10" s="184" t="s">
        <v>644</v>
      </c>
      <c r="G10" s="184">
        <v>4.2000000000000003E-2</v>
      </c>
      <c r="H10" s="268" t="s">
        <v>644</v>
      </c>
      <c r="I10" s="269" t="s">
        <v>1998</v>
      </c>
      <c r="J10" s="654">
        <f>E10*G10</f>
        <v>5.9220000000000002E-3</v>
      </c>
      <c r="K10" s="655">
        <v>1E-3</v>
      </c>
      <c r="L10" s="268">
        <v>7860</v>
      </c>
      <c r="M10" s="622">
        <v>1</v>
      </c>
      <c r="N10" s="362">
        <f>IF(J10="",D10*M10,D10*J10*K10*L10*M10)</f>
        <v>0.10473057</v>
      </c>
    </row>
    <row r="11" spans="1:14" ht="28.8" x14ac:dyDescent="0.3">
      <c r="A11" s="184">
        <v>20</v>
      </c>
      <c r="B11" s="184" t="s">
        <v>1948</v>
      </c>
      <c r="C11" s="184" t="s">
        <v>607</v>
      </c>
      <c r="D11" s="362">
        <v>2.25</v>
      </c>
      <c r="E11" s="184">
        <v>3.9E-2</v>
      </c>
      <c r="F11" s="184" t="s">
        <v>644</v>
      </c>
      <c r="G11" s="184">
        <v>1.7000000000000001E-2</v>
      </c>
      <c r="H11" s="268" t="s">
        <v>644</v>
      </c>
      <c r="I11" s="269" t="s">
        <v>1999</v>
      </c>
      <c r="J11" s="654">
        <f>E11*G11</f>
        <v>6.6300000000000007E-4</v>
      </c>
      <c r="K11" s="655">
        <v>1E-3</v>
      </c>
      <c r="L11" s="268">
        <v>7860</v>
      </c>
      <c r="M11" s="622">
        <v>1</v>
      </c>
      <c r="N11" s="362">
        <v>0.02</v>
      </c>
    </row>
    <row r="12" spans="1:14" s="278" customFormat="1" x14ac:dyDescent="0.3">
      <c r="M12" s="650" t="s">
        <v>547</v>
      </c>
      <c r="N12" s="653">
        <f>SUM(N10:N11)</f>
        <v>0.12473057</v>
      </c>
    </row>
    <row r="14" spans="1:14" s="278" customFormat="1" x14ac:dyDescent="0.3">
      <c r="A14" s="576" t="s">
        <v>544</v>
      </c>
      <c r="B14" s="576" t="s">
        <v>548</v>
      </c>
      <c r="C14" s="576" t="s">
        <v>549</v>
      </c>
      <c r="D14" s="576" t="s">
        <v>550</v>
      </c>
      <c r="E14" s="576" t="s">
        <v>551</v>
      </c>
      <c r="F14" s="576" t="s">
        <v>28</v>
      </c>
      <c r="G14" s="576" t="s">
        <v>552</v>
      </c>
      <c r="H14" s="576" t="s">
        <v>553</v>
      </c>
      <c r="I14" s="576" t="s">
        <v>547</v>
      </c>
    </row>
    <row r="15" spans="1:14" ht="28.8" x14ac:dyDescent="0.3">
      <c r="A15" s="622">
        <v>10</v>
      </c>
      <c r="B15" s="315" t="s">
        <v>589</v>
      </c>
      <c r="C15" s="622" t="s">
        <v>1950</v>
      </c>
      <c r="D15" s="362">
        <v>1.3</v>
      </c>
      <c r="E15" s="656"/>
      <c r="F15" s="622">
        <v>1</v>
      </c>
      <c r="G15" s="622"/>
      <c r="H15" s="622">
        <v>1</v>
      </c>
      <c r="I15" s="362">
        <f>IF('FR 08016'!$H15&lt;&gt;"",'FR 08016'!$D15*'FR 08016'!$F15*'FR 08016'!$H15,'FR 08016'!$D15*'FR 08016'!$F15)</f>
        <v>1.3</v>
      </c>
    </row>
    <row r="16" spans="1:14" x14ac:dyDescent="0.3">
      <c r="A16" s="184">
        <v>20</v>
      </c>
      <c r="B16" s="180" t="s">
        <v>591</v>
      </c>
      <c r="C16" s="193" t="s">
        <v>2000</v>
      </c>
      <c r="D16" s="362">
        <v>0.01</v>
      </c>
      <c r="E16" s="184" t="s">
        <v>593</v>
      </c>
      <c r="F16" s="184">
        <v>40.56</v>
      </c>
      <c r="G16" s="168" t="s">
        <v>598</v>
      </c>
      <c r="H16" s="184">
        <v>3</v>
      </c>
      <c r="I16" s="362">
        <f>IF('FR 08016'!$H16&lt;&gt;"",'FR 08016'!$D16*'FR 08016'!$F16*'FR 08016'!$H16,'FR 08016'!$D16*'FR 08016'!$F16)</f>
        <v>1.2168000000000001</v>
      </c>
    </row>
    <row r="17" spans="1:9" ht="28.8" x14ac:dyDescent="0.3">
      <c r="A17" s="184">
        <v>30</v>
      </c>
      <c r="B17" s="180" t="s">
        <v>702</v>
      </c>
      <c r="C17" s="622" t="s">
        <v>1950</v>
      </c>
      <c r="D17" s="362">
        <v>0.25</v>
      </c>
      <c r="E17" s="184" t="s">
        <v>704</v>
      </c>
      <c r="F17" s="184">
        <v>3</v>
      </c>
      <c r="G17" s="184"/>
      <c r="H17" s="184"/>
      <c r="I17" s="362">
        <f>IF('FR 08016'!$H17&lt;&gt;"",'FR 08016'!$D17*'FR 08016'!$F17*'FR 08016'!$H17,'FR 08016'!$D17*'FR 08016'!$F17)</f>
        <v>0.75</v>
      </c>
    </row>
    <row r="18" spans="1:9" ht="28.8" x14ac:dyDescent="0.3">
      <c r="A18" s="184">
        <v>40</v>
      </c>
      <c r="B18" s="315" t="s">
        <v>589</v>
      </c>
      <c r="C18" s="622" t="s">
        <v>2001</v>
      </c>
      <c r="D18" s="622">
        <v>1.3</v>
      </c>
      <c r="E18" s="656"/>
      <c r="F18" s="622">
        <v>1</v>
      </c>
      <c r="G18" s="622"/>
      <c r="H18" s="622">
        <v>1</v>
      </c>
      <c r="I18" s="362">
        <f>IF('FR 08016'!$H18&lt;&gt;"",'FR 08016'!$D18*'FR 08016'!$F18*'FR 08016'!$H18,'FR 08016'!$D18*'FR 08016'!$F18)</f>
        <v>1.3</v>
      </c>
    </row>
    <row r="19" spans="1:9" ht="28.8" x14ac:dyDescent="0.3">
      <c r="A19" s="184">
        <v>50</v>
      </c>
      <c r="B19" s="180" t="s">
        <v>591</v>
      </c>
      <c r="C19" s="622" t="s">
        <v>1950</v>
      </c>
      <c r="D19" s="362">
        <v>0.01</v>
      </c>
      <c r="E19" s="184" t="s">
        <v>593</v>
      </c>
      <c r="F19" s="184">
        <v>9.8000000000000007</v>
      </c>
      <c r="G19" s="168" t="s">
        <v>598</v>
      </c>
      <c r="H19" s="184">
        <v>3</v>
      </c>
      <c r="I19" s="362">
        <f>IF('FR 08016'!$H19&lt;&gt;"",'FR 08016'!$D19*'FR 08016'!$F19*'FR 08016'!$H19,'FR 08016'!$D19*'FR 08016'!$F19)</f>
        <v>0.29400000000000004</v>
      </c>
    </row>
    <row r="20" spans="1:9" x14ac:dyDescent="0.3">
      <c r="A20" s="184">
        <v>60</v>
      </c>
      <c r="B20" s="180" t="s">
        <v>650</v>
      </c>
      <c r="C20" s="193" t="s">
        <v>2002</v>
      </c>
      <c r="D20" s="362">
        <v>0.15</v>
      </c>
      <c r="E20" s="184" t="s">
        <v>593</v>
      </c>
      <c r="F20" s="184">
        <v>5.6</v>
      </c>
      <c r="G20" s="184"/>
      <c r="H20" s="184"/>
      <c r="I20" s="362">
        <f>IF('FR 08016'!$H20&lt;&gt;"",'FR 08016'!$D20*'FR 08016'!$F20*'FR 08016'!$H20,'FR 08016'!$D20*'FR 08016'!$F20)</f>
        <v>0.84</v>
      </c>
    </row>
    <row r="21" spans="1:9" s="278" customFormat="1" x14ac:dyDescent="0.3">
      <c r="H21" s="650" t="s">
        <v>547</v>
      </c>
      <c r="I21" s="653">
        <f>SUM(I15:I20)</f>
        <v>5.7007999999999992</v>
      </c>
    </row>
    <row r="23" spans="1:9" x14ac:dyDescent="0.3">
      <c r="A23" s="576" t="s">
        <v>544</v>
      </c>
      <c r="B23" s="576" t="s">
        <v>6</v>
      </c>
      <c r="C23" s="576" t="s">
        <v>549</v>
      </c>
      <c r="D23" s="576" t="s">
        <v>550</v>
      </c>
      <c r="E23" s="576" t="s">
        <v>551</v>
      </c>
      <c r="F23" s="576" t="s">
        <v>28</v>
      </c>
      <c r="G23" s="576" t="s">
        <v>691</v>
      </c>
      <c r="H23" s="576" t="s">
        <v>692</v>
      </c>
      <c r="I23" s="576" t="s">
        <v>547</v>
      </c>
    </row>
    <row r="24" spans="1:9" x14ac:dyDescent="0.3">
      <c r="A24" s="184">
        <v>10</v>
      </c>
      <c r="B24" s="267" t="s">
        <v>1924</v>
      </c>
      <c r="C24" s="184" t="s">
        <v>2003</v>
      </c>
      <c r="D24" s="645">
        <v>500</v>
      </c>
      <c r="E24" s="184" t="s">
        <v>695</v>
      </c>
      <c r="F24" s="646">
        <v>2</v>
      </c>
      <c r="G24" s="184">
        <v>3000</v>
      </c>
      <c r="H24" s="184">
        <v>1</v>
      </c>
      <c r="I24" s="362">
        <f>D24*F24/G24*H24</f>
        <v>0.33333333333333331</v>
      </c>
    </row>
    <row r="25" spans="1:9" x14ac:dyDescent="0.3">
      <c r="A25" s="278"/>
      <c r="B25" s="278"/>
      <c r="C25" s="278"/>
      <c r="D25" s="278"/>
      <c r="E25" s="278"/>
      <c r="F25" s="278"/>
      <c r="G25" s="278"/>
      <c r="H25" s="650" t="s">
        <v>547</v>
      </c>
      <c r="I25" s="653">
        <f>SUM(I24:I24)</f>
        <v>0.33333333333333331</v>
      </c>
    </row>
    <row r="27" spans="1:9" x14ac:dyDescent="0.3">
      <c r="H27" s="292"/>
      <c r="I27" s="293"/>
    </row>
  </sheetData>
  <pageMargins left="0.7" right="0.7" top="0.75" bottom="0.75" header="0.3" footer="0.3"/>
  <pageSetup paperSize="9" scale="52" fitToHeight="0" orientation="landscape" r:id="rId1"/>
  <drawing r:id="rId2"/>
</worksheet>
</file>

<file path=xl/worksheets/sheet1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27"/>
  <sheetViews>
    <sheetView showGridLines="0" workbookViewId="0"/>
  </sheetViews>
  <sheetFormatPr defaultColWidth="9.109375" defaultRowHeight="14.4" x14ac:dyDescent="0.3"/>
  <cols>
    <col min="1" max="1" width="15" style="248" bestFit="1" customWidth="1"/>
    <col min="2" max="2" width="27.6640625" style="248" customWidth="1"/>
    <col min="3" max="3" width="21.109375" style="248" customWidth="1"/>
    <col min="4" max="4" width="13.44140625" style="248" bestFit="1" customWidth="1"/>
    <col min="5" max="5" width="14.109375" style="248" bestFit="1" customWidth="1"/>
    <col min="6" max="6" width="12" style="248" bestFit="1" customWidth="1"/>
    <col min="7" max="7" width="17.44140625" style="248" customWidth="1"/>
    <col min="8" max="8" width="13.88671875" style="248" bestFit="1" customWidth="1"/>
    <col min="9" max="9" width="16.5546875" style="248" customWidth="1"/>
    <col min="10" max="10" width="13.88671875" style="248" bestFit="1" customWidth="1"/>
    <col min="11" max="11" width="10.44140625" style="248" bestFit="1" customWidth="1"/>
    <col min="12" max="12" width="11.33203125" style="248" bestFit="1" customWidth="1"/>
    <col min="13" max="13" width="21" style="248" customWidth="1"/>
    <col min="14" max="14" width="15" style="248" bestFit="1" customWidth="1"/>
    <col min="15" max="15" width="9.109375" style="248"/>
    <col min="16" max="16" width="9.44140625" style="248" bestFit="1" customWidth="1"/>
    <col min="17" max="18" width="9.109375" style="248"/>
    <col min="19" max="19" width="10.44140625" style="248" bestFit="1" customWidth="1"/>
    <col min="20" max="20" width="9.44140625" style="248" bestFit="1" customWidth="1"/>
    <col min="21" max="21" width="9.109375" style="248"/>
    <col min="22" max="22" width="9.44140625" style="248" bestFit="1" customWidth="1"/>
    <col min="23" max="23" width="9.109375" style="248"/>
    <col min="24" max="25" width="10.109375" style="248" bestFit="1" customWidth="1"/>
    <col min="26" max="28" width="9.33203125" style="248" bestFit="1" customWidth="1"/>
    <col min="29" max="16384" width="9.109375" style="248"/>
  </cols>
  <sheetData>
    <row r="1" spans="1:14" x14ac:dyDescent="0.3">
      <c r="A1" s="602" t="s">
        <v>523</v>
      </c>
      <c r="B1" s="248" t="s">
        <v>524</v>
      </c>
      <c r="J1" s="603" t="s">
        <v>528</v>
      </c>
      <c r="K1" s="250">
        <v>81</v>
      </c>
      <c r="M1" s="602" t="s">
        <v>546</v>
      </c>
      <c r="N1" s="364">
        <f>N12+I21+I25</f>
        <v>6.1804639033333331</v>
      </c>
    </row>
    <row r="2" spans="1:14" x14ac:dyDescent="0.3">
      <c r="A2" s="602" t="s">
        <v>532</v>
      </c>
      <c r="B2" s="248" t="s">
        <v>1418</v>
      </c>
      <c r="D2" s="602" t="s">
        <v>536</v>
      </c>
      <c r="M2" s="602" t="s">
        <v>533</v>
      </c>
      <c r="N2" s="296">
        <v>2</v>
      </c>
    </row>
    <row r="3" spans="1:14" x14ac:dyDescent="0.3">
      <c r="A3" s="602" t="s">
        <v>534</v>
      </c>
      <c r="B3" s="248" t="s">
        <v>261</v>
      </c>
      <c r="D3" s="602" t="s">
        <v>538</v>
      </c>
      <c r="J3" s="602" t="s">
        <v>536</v>
      </c>
    </row>
    <row r="4" spans="1:14" x14ac:dyDescent="0.3">
      <c r="A4" s="602" t="s">
        <v>545</v>
      </c>
      <c r="B4" s="319" t="s">
        <v>283</v>
      </c>
      <c r="D4" s="602" t="s">
        <v>541</v>
      </c>
      <c r="J4" s="602" t="s">
        <v>538</v>
      </c>
      <c r="M4" s="602" t="s">
        <v>539</v>
      </c>
      <c r="N4" s="364">
        <f>N1*N2</f>
        <v>12.360927806666666</v>
      </c>
    </row>
    <row r="5" spans="1:14" x14ac:dyDescent="0.3">
      <c r="A5" s="602" t="s">
        <v>537</v>
      </c>
      <c r="B5" s="604" t="s">
        <v>2004</v>
      </c>
      <c r="J5" s="602" t="s">
        <v>541</v>
      </c>
    </row>
    <row r="6" spans="1:14" x14ac:dyDescent="0.3">
      <c r="A6" s="602" t="s">
        <v>540</v>
      </c>
      <c r="B6" s="248" t="s">
        <v>36</v>
      </c>
    </row>
    <row r="7" spans="1:14" x14ac:dyDescent="0.3">
      <c r="A7" s="602" t="s">
        <v>542</v>
      </c>
      <c r="B7" s="248" t="s">
        <v>1947</v>
      </c>
    </row>
    <row r="9" spans="1:14" s="278" customFormat="1" x14ac:dyDescent="0.3">
      <c r="A9" s="576" t="s">
        <v>544</v>
      </c>
      <c r="B9" s="576" t="s">
        <v>581</v>
      </c>
      <c r="C9" s="576" t="s">
        <v>549</v>
      </c>
      <c r="D9" s="576" t="s">
        <v>550</v>
      </c>
      <c r="E9" s="576" t="s">
        <v>567</v>
      </c>
      <c r="F9" s="576" t="s">
        <v>568</v>
      </c>
      <c r="G9" s="576" t="s">
        <v>569</v>
      </c>
      <c r="H9" s="576" t="s">
        <v>570</v>
      </c>
      <c r="I9" s="576" t="s">
        <v>582</v>
      </c>
      <c r="J9" s="576" t="s">
        <v>583</v>
      </c>
      <c r="K9" s="576" t="s">
        <v>584</v>
      </c>
      <c r="L9" s="576" t="s">
        <v>585</v>
      </c>
      <c r="M9" s="576" t="s">
        <v>28</v>
      </c>
      <c r="N9" s="576" t="s">
        <v>547</v>
      </c>
    </row>
    <row r="10" spans="1:14" ht="28.8" x14ac:dyDescent="0.3">
      <c r="A10" s="184">
        <v>10</v>
      </c>
      <c r="B10" s="184" t="s">
        <v>1948</v>
      </c>
      <c r="C10" s="184" t="s">
        <v>607</v>
      </c>
      <c r="D10" s="362">
        <v>2.25</v>
      </c>
      <c r="E10" s="184">
        <v>0.14099999999999999</v>
      </c>
      <c r="F10" s="184" t="s">
        <v>644</v>
      </c>
      <c r="G10" s="184">
        <v>4.2000000000000003E-2</v>
      </c>
      <c r="H10" s="268" t="s">
        <v>644</v>
      </c>
      <c r="I10" s="269" t="s">
        <v>2005</v>
      </c>
      <c r="J10" s="654">
        <f>E10*G10</f>
        <v>5.9220000000000002E-3</v>
      </c>
      <c r="K10" s="655">
        <v>1E-3</v>
      </c>
      <c r="L10" s="268">
        <v>7860</v>
      </c>
      <c r="M10" s="622">
        <v>1</v>
      </c>
      <c r="N10" s="362">
        <f>IF(J10="",D10*M10,D10*J10*K10*L10*M10)</f>
        <v>0.10473057</v>
      </c>
    </row>
    <row r="11" spans="1:14" ht="28.8" x14ac:dyDescent="0.3">
      <c r="A11" s="184">
        <v>20</v>
      </c>
      <c r="B11" s="184" t="s">
        <v>1948</v>
      </c>
      <c r="C11" s="184" t="s">
        <v>607</v>
      </c>
      <c r="D11" s="362">
        <v>2.25</v>
      </c>
      <c r="E11" s="184">
        <v>0.04</v>
      </c>
      <c r="F11" s="184" t="s">
        <v>644</v>
      </c>
      <c r="G11" s="184">
        <v>1.7000000000000001E-2</v>
      </c>
      <c r="H11" s="268" t="s">
        <v>644</v>
      </c>
      <c r="I11" s="269" t="s">
        <v>2006</v>
      </c>
      <c r="J11" s="654">
        <f>E11*G11</f>
        <v>6.8000000000000005E-4</v>
      </c>
      <c r="K11" s="655">
        <v>1E-3</v>
      </c>
      <c r="L11" s="268">
        <v>7860</v>
      </c>
      <c r="M11" s="622">
        <v>1</v>
      </c>
      <c r="N11" s="362">
        <v>0.02</v>
      </c>
    </row>
    <row r="12" spans="1:14" s="278" customFormat="1" x14ac:dyDescent="0.3">
      <c r="M12" s="650" t="s">
        <v>547</v>
      </c>
      <c r="N12" s="653">
        <f>SUM(N10:N11)</f>
        <v>0.12473057</v>
      </c>
    </row>
    <row r="14" spans="1:14" s="278" customFormat="1" x14ac:dyDescent="0.3">
      <c r="A14" s="576" t="s">
        <v>544</v>
      </c>
      <c r="B14" s="576" t="s">
        <v>548</v>
      </c>
      <c r="C14" s="576" t="s">
        <v>549</v>
      </c>
      <c r="D14" s="576" t="s">
        <v>550</v>
      </c>
      <c r="E14" s="576" t="s">
        <v>551</v>
      </c>
      <c r="F14" s="576" t="s">
        <v>28</v>
      </c>
      <c r="G14" s="576" t="s">
        <v>552</v>
      </c>
      <c r="H14" s="576" t="s">
        <v>553</v>
      </c>
      <c r="I14" s="576" t="s">
        <v>547</v>
      </c>
    </row>
    <row r="15" spans="1:14" ht="28.8" x14ac:dyDescent="0.3">
      <c r="A15" s="622">
        <v>10</v>
      </c>
      <c r="B15" s="315" t="s">
        <v>589</v>
      </c>
      <c r="C15" s="622" t="s">
        <v>1950</v>
      </c>
      <c r="D15" s="362">
        <v>1.3</v>
      </c>
      <c r="E15" s="656"/>
      <c r="F15" s="622">
        <v>1</v>
      </c>
      <c r="G15" s="622"/>
      <c r="H15" s="622">
        <v>1</v>
      </c>
      <c r="I15" s="362">
        <f>IF('FR 08017'!$H15&lt;&gt;"",'FR 08017'!$D15*'FR 08017'!$F15*'FR 08017'!$H15,'FR 08017'!$D15*'FR 08017'!$F15)</f>
        <v>1.3</v>
      </c>
    </row>
    <row r="16" spans="1:14" x14ac:dyDescent="0.3">
      <c r="A16" s="184">
        <v>20</v>
      </c>
      <c r="B16" s="180" t="s">
        <v>591</v>
      </c>
      <c r="C16" s="193" t="s">
        <v>2000</v>
      </c>
      <c r="D16" s="362">
        <v>0.01</v>
      </c>
      <c r="E16" s="184" t="s">
        <v>593</v>
      </c>
      <c r="F16" s="184">
        <v>40.58</v>
      </c>
      <c r="G16" s="168" t="s">
        <v>598</v>
      </c>
      <c r="H16" s="184">
        <v>3</v>
      </c>
      <c r="I16" s="362">
        <f>IF('FR 08017'!$H16&lt;&gt;"",'FR 08017'!$D16*'FR 08017'!$F16*'FR 08017'!$H16,'FR 08017'!$D16*'FR 08017'!$F16)</f>
        <v>1.2174</v>
      </c>
    </row>
    <row r="17" spans="1:9" ht="28.8" x14ac:dyDescent="0.3">
      <c r="A17" s="184">
        <v>30</v>
      </c>
      <c r="B17" s="180" t="s">
        <v>702</v>
      </c>
      <c r="C17" s="622" t="s">
        <v>1950</v>
      </c>
      <c r="D17" s="362">
        <v>0.25</v>
      </c>
      <c r="E17" s="184" t="s">
        <v>704</v>
      </c>
      <c r="F17" s="184">
        <v>3</v>
      </c>
      <c r="G17" s="184"/>
      <c r="H17" s="184"/>
      <c r="I17" s="362">
        <f>IF('FR 08017'!$H17&lt;&gt;"",'FR 08017'!$D17*'FR 08017'!$F17*'FR 08017'!$H17,'FR 08017'!$D17*'FR 08017'!$F17)</f>
        <v>0.75</v>
      </c>
    </row>
    <row r="18" spans="1:9" ht="28.8" x14ac:dyDescent="0.3">
      <c r="A18" s="184">
        <v>40</v>
      </c>
      <c r="B18" s="315" t="s">
        <v>589</v>
      </c>
      <c r="C18" s="622" t="s">
        <v>2001</v>
      </c>
      <c r="D18" s="622">
        <v>1.3</v>
      </c>
      <c r="E18" s="656"/>
      <c r="F18" s="622">
        <v>1</v>
      </c>
      <c r="G18" s="622"/>
      <c r="H18" s="622">
        <v>1</v>
      </c>
      <c r="I18" s="362">
        <f>IF('FR 08017'!$H18&lt;&gt;"",'FR 08017'!$D18*'FR 08017'!$F18*'FR 08017'!$H18,'FR 08017'!$D18*'FR 08017'!$F18)</f>
        <v>1.3</v>
      </c>
    </row>
    <row r="19" spans="1:9" ht="28.8" x14ac:dyDescent="0.3">
      <c r="A19" s="184">
        <v>50</v>
      </c>
      <c r="B19" s="180" t="s">
        <v>591</v>
      </c>
      <c r="C19" s="622" t="s">
        <v>1950</v>
      </c>
      <c r="D19" s="362">
        <v>0.01</v>
      </c>
      <c r="E19" s="184" t="s">
        <v>593</v>
      </c>
      <c r="F19" s="184">
        <v>10</v>
      </c>
      <c r="G19" s="168" t="s">
        <v>598</v>
      </c>
      <c r="H19" s="184">
        <v>3</v>
      </c>
      <c r="I19" s="362">
        <f>IF('FR 08017'!$H19&lt;&gt;"",'FR 08017'!$D19*'FR 08017'!$F19*'FR 08017'!$H19,'FR 08017'!$D19*'FR 08017'!$F19)</f>
        <v>0.30000000000000004</v>
      </c>
    </row>
    <row r="20" spans="1:9" x14ac:dyDescent="0.3">
      <c r="A20" s="184">
        <v>60</v>
      </c>
      <c r="B20" s="180" t="s">
        <v>650</v>
      </c>
      <c r="C20" s="193" t="s">
        <v>2002</v>
      </c>
      <c r="D20" s="362">
        <v>0.15</v>
      </c>
      <c r="E20" s="184" t="s">
        <v>593</v>
      </c>
      <c r="F20" s="184">
        <v>5.7</v>
      </c>
      <c r="G20" s="184"/>
      <c r="H20" s="184"/>
      <c r="I20" s="362">
        <f>IF('FR 08017'!$H20&lt;&gt;"",'FR 08017'!$D20*'FR 08017'!$F20*'FR 08017'!$H20,'FR 08017'!$D20*'FR 08017'!$F20)</f>
        <v>0.85499999999999998</v>
      </c>
    </row>
    <row r="21" spans="1:9" s="278" customFormat="1" x14ac:dyDescent="0.3">
      <c r="H21" s="650" t="s">
        <v>547</v>
      </c>
      <c r="I21" s="653">
        <f>SUM(I15:I20)</f>
        <v>5.7224000000000004</v>
      </c>
    </row>
    <row r="23" spans="1:9" x14ac:dyDescent="0.3">
      <c r="A23" s="576" t="s">
        <v>544</v>
      </c>
      <c r="B23" s="576" t="s">
        <v>6</v>
      </c>
      <c r="C23" s="576" t="s">
        <v>549</v>
      </c>
      <c r="D23" s="576" t="s">
        <v>550</v>
      </c>
      <c r="E23" s="576" t="s">
        <v>551</v>
      </c>
      <c r="F23" s="576" t="s">
        <v>28</v>
      </c>
      <c r="G23" s="576" t="s">
        <v>691</v>
      </c>
      <c r="H23" s="576" t="s">
        <v>692</v>
      </c>
      <c r="I23" s="576" t="s">
        <v>547</v>
      </c>
    </row>
    <row r="24" spans="1:9" x14ac:dyDescent="0.3">
      <c r="A24" s="184">
        <v>10</v>
      </c>
      <c r="B24" s="267" t="s">
        <v>1924</v>
      </c>
      <c r="C24" s="184" t="s">
        <v>2003</v>
      </c>
      <c r="D24" s="645">
        <v>500</v>
      </c>
      <c r="E24" s="184" t="s">
        <v>695</v>
      </c>
      <c r="F24" s="646">
        <v>2</v>
      </c>
      <c r="G24" s="184">
        <v>3000</v>
      </c>
      <c r="H24" s="184">
        <v>1</v>
      </c>
      <c r="I24" s="362">
        <f>D24*F24/G24*H24</f>
        <v>0.33333333333333331</v>
      </c>
    </row>
    <row r="25" spans="1:9" x14ac:dyDescent="0.3">
      <c r="A25" s="278"/>
      <c r="B25" s="278"/>
      <c r="C25" s="278"/>
      <c r="D25" s="278"/>
      <c r="E25" s="278"/>
      <c r="F25" s="278"/>
      <c r="G25" s="278"/>
      <c r="H25" s="650" t="s">
        <v>547</v>
      </c>
      <c r="I25" s="653">
        <f>SUM(I24:I24)</f>
        <v>0.33333333333333331</v>
      </c>
    </row>
    <row r="27" spans="1:9" x14ac:dyDescent="0.3">
      <c r="H27" s="292"/>
      <c r="I27" s="293"/>
    </row>
  </sheetData>
  <pageMargins left="0.7" right="0.7" top="0.75" bottom="0.75" header="0.3" footer="0.3"/>
  <pageSetup paperSize="9" scale="58" fitToHeight="0" orientation="landscape" r:id="rId1"/>
  <drawing r:id="rId2"/>
</worksheet>
</file>

<file path=xl/worksheets/sheet1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9.44140625" style="161" customWidth="1"/>
    <col min="3" max="3" width="18.664062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1.33203125" style="161" customWidth="1"/>
    <col min="8" max="8" width="13.88671875" style="161" bestFit="1" customWidth="1"/>
    <col min="9" max="9" width="17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20.8867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N11+I17</f>
        <v>3.0523600000000002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284</v>
      </c>
      <c r="D4" s="570" t="s">
        <v>541</v>
      </c>
      <c r="J4" s="570" t="s">
        <v>538</v>
      </c>
      <c r="M4" s="570" t="s">
        <v>539</v>
      </c>
      <c r="N4" s="336">
        <f>N1*N2</f>
        <v>6.1047200000000004</v>
      </c>
    </row>
    <row r="5" spans="1:14" x14ac:dyDescent="0.3">
      <c r="A5" s="570" t="s">
        <v>537</v>
      </c>
      <c r="B5" s="199" t="s">
        <v>2007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  <c r="B7" s="161" t="s">
        <v>2008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248" customFormat="1" ht="28.8" x14ac:dyDescent="0.3">
      <c r="A10" s="184">
        <v>10</v>
      </c>
      <c r="B10" s="184" t="s">
        <v>1948</v>
      </c>
      <c r="C10" s="184" t="s">
        <v>607</v>
      </c>
      <c r="D10" s="362">
        <v>4.2</v>
      </c>
      <c r="E10" s="184">
        <v>0.03</v>
      </c>
      <c r="F10" s="184" t="s">
        <v>644</v>
      </c>
      <c r="G10" s="184">
        <v>0.6</v>
      </c>
      <c r="H10" s="268" t="s">
        <v>644</v>
      </c>
      <c r="I10" s="269" t="s">
        <v>2009</v>
      </c>
      <c r="J10" s="654">
        <f>E10*G10</f>
        <v>1.7999999999999999E-2</v>
      </c>
      <c r="K10" s="655">
        <v>3.0000000000000001E-3</v>
      </c>
      <c r="L10" s="268">
        <v>2700</v>
      </c>
      <c r="M10" s="622">
        <v>1</v>
      </c>
      <c r="N10" s="363">
        <f>IF(J10="",D10*M10,D10*J10*K10*L10*M10)</f>
        <v>0.61236000000000002</v>
      </c>
    </row>
    <row r="11" spans="1:14" s="178" customFormat="1" x14ac:dyDescent="0.3">
      <c r="M11" s="574" t="s">
        <v>547</v>
      </c>
      <c r="N11" s="575">
        <f>SUM(N10:N10)</f>
        <v>0.61236000000000002</v>
      </c>
    </row>
    <row r="13" spans="1:14" s="178" customFormat="1" x14ac:dyDescent="0.3">
      <c r="A13" s="576" t="s">
        <v>544</v>
      </c>
      <c r="B13" s="576" t="s">
        <v>548</v>
      </c>
      <c r="C13" s="576" t="s">
        <v>549</v>
      </c>
      <c r="D13" s="576" t="s">
        <v>550</v>
      </c>
      <c r="E13" s="576" t="s">
        <v>551</v>
      </c>
      <c r="F13" s="576" t="s">
        <v>28</v>
      </c>
      <c r="G13" s="576" t="s">
        <v>552</v>
      </c>
      <c r="H13" s="576" t="s">
        <v>553</v>
      </c>
      <c r="I13" s="576" t="s">
        <v>547</v>
      </c>
    </row>
    <row r="14" spans="1:14" ht="28.8" x14ac:dyDescent="0.3">
      <c r="A14" s="622">
        <v>10</v>
      </c>
      <c r="B14" s="315" t="s">
        <v>589</v>
      </c>
      <c r="C14" s="622" t="s">
        <v>1950</v>
      </c>
      <c r="D14" s="362">
        <v>1.3</v>
      </c>
      <c r="E14" s="656"/>
      <c r="F14" s="622">
        <v>1</v>
      </c>
      <c r="G14" s="622" t="s">
        <v>1508</v>
      </c>
      <c r="H14" s="622">
        <v>0.5</v>
      </c>
      <c r="I14" s="362">
        <f>IF('FR 08018'!$H14&lt;&gt;"",'FR 08018'!$D14*'FR 08018'!$F14*'FR 08018'!$H14,'FR 08018'!$D14*'FR 08018'!$F14)</f>
        <v>0.65</v>
      </c>
    </row>
    <row r="15" spans="1:14" x14ac:dyDescent="0.3">
      <c r="A15" s="184">
        <v>20</v>
      </c>
      <c r="B15" s="180" t="s">
        <v>591</v>
      </c>
      <c r="C15" s="193" t="s">
        <v>2010</v>
      </c>
      <c r="D15" s="362">
        <v>0.01</v>
      </c>
      <c r="E15" s="184" t="s">
        <v>593</v>
      </c>
      <c r="F15" s="184">
        <f>50+50+2+2</f>
        <v>104</v>
      </c>
      <c r="G15" s="168" t="s">
        <v>710</v>
      </c>
      <c r="H15" s="184">
        <v>1</v>
      </c>
      <c r="I15" s="362">
        <f>IF('FR 08018'!$H15&lt;&gt;"",'FR 08018'!$D15*'FR 08018'!$F15*'FR 08018'!$H15,'FR 08018'!$D15*'FR 08018'!$F15)</f>
        <v>1.04</v>
      </c>
    </row>
    <row r="16" spans="1:14" x14ac:dyDescent="0.3">
      <c r="A16" s="184">
        <v>30</v>
      </c>
      <c r="B16" s="180" t="s">
        <v>702</v>
      </c>
      <c r="C16" s="193" t="s">
        <v>2011</v>
      </c>
      <c r="D16" s="362">
        <v>0.25</v>
      </c>
      <c r="E16" s="184" t="s">
        <v>704</v>
      </c>
      <c r="F16" s="184">
        <v>3</v>
      </c>
      <c r="G16" s="184"/>
      <c r="H16" s="184"/>
      <c r="I16" s="362">
        <f>IF('FR 08018'!$H16&lt;&gt;"",'FR 08018'!$D16*'FR 08018'!$F16*'FR 08018'!$H16,'FR 08018'!$D16*'FR 08018'!$F16)</f>
        <v>0.75</v>
      </c>
    </row>
    <row r="17" spans="1:9" s="178" customFormat="1" x14ac:dyDescent="0.3">
      <c r="A17" s="278"/>
      <c r="B17" s="278"/>
      <c r="C17" s="278"/>
      <c r="D17" s="278"/>
      <c r="E17" s="278"/>
      <c r="F17" s="278"/>
      <c r="G17" s="278"/>
      <c r="H17" s="577" t="s">
        <v>547</v>
      </c>
      <c r="I17" s="579">
        <f>SUM(I14:I16)</f>
        <v>2.44</v>
      </c>
    </row>
  </sheetData>
  <pageMargins left="0.7" right="0.7" top="0.75" bottom="0.75" header="0.3" footer="0.3"/>
  <pageSetup paperSize="9" scale="57" fitToHeight="0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">
    <tabColor theme="0" tint="-0.249977111117893"/>
    <pageSetUpPr fitToPage="1"/>
  </sheetPr>
  <dimension ref="B2:K25"/>
  <sheetViews>
    <sheetView showGridLines="0" zoomScale="115" zoomScaleNormal="115" workbookViewId="0"/>
  </sheetViews>
  <sheetFormatPr defaultColWidth="9.109375" defaultRowHeight="13.2" x14ac:dyDescent="0.25"/>
  <cols>
    <col min="1" max="1" width="3.109375" style="1" customWidth="1"/>
    <col min="2" max="2" width="30.33203125" style="1" customWidth="1"/>
    <col min="3" max="3" width="26.109375" style="1" customWidth="1"/>
    <col min="4" max="4" width="18.33203125" style="1" customWidth="1"/>
    <col min="5" max="5" width="15.88671875" style="1" customWidth="1"/>
    <col min="6" max="6" width="9.21875" style="1" bestFit="1" customWidth="1"/>
    <col min="7" max="7" width="9.109375" style="1" customWidth="1"/>
    <col min="8" max="8" width="12.5546875" style="1" customWidth="1"/>
    <col min="9" max="9" width="3.44140625" style="1" customWidth="1"/>
    <col min="10" max="16384" width="9.109375" style="1"/>
  </cols>
  <sheetData>
    <row r="2" spans="2:11" ht="20.399999999999999" x14ac:dyDescent="0.25">
      <c r="B2" s="998" t="s">
        <v>0</v>
      </c>
      <c r="C2" s="998"/>
      <c r="D2" s="998"/>
      <c r="E2" s="998"/>
      <c r="F2" s="998"/>
      <c r="G2" s="998"/>
      <c r="H2" s="998"/>
    </row>
    <row r="4" spans="2:11" x14ac:dyDescent="0.25">
      <c r="B4" s="2" t="s">
        <v>1</v>
      </c>
      <c r="C4" s="999" t="s">
        <v>524</v>
      </c>
      <c r="D4" s="999"/>
    </row>
    <row r="5" spans="2:11" ht="33" customHeight="1" x14ac:dyDescent="0.25">
      <c r="C5" s="1000" t="s">
        <v>2947</v>
      </c>
      <c r="D5" s="1000"/>
    </row>
    <row r="6" spans="2:11" x14ac:dyDescent="0.25">
      <c r="B6" s="3" t="s">
        <v>2</v>
      </c>
      <c r="D6" s="4" t="s">
        <v>3</v>
      </c>
      <c r="E6" s="5" t="s">
        <v>4</v>
      </c>
      <c r="F6" s="5" t="s">
        <v>5</v>
      </c>
      <c r="G6" s="5" t="s">
        <v>6</v>
      </c>
      <c r="H6" s="5" t="s">
        <v>7</v>
      </c>
    </row>
    <row r="7" spans="2:11" ht="14.4" x14ac:dyDescent="0.3">
      <c r="B7" s="6"/>
      <c r="C7" s="6" t="s">
        <v>8</v>
      </c>
      <c r="D7" s="7">
        <f>BOM!J27</f>
        <v>973.11633146645988</v>
      </c>
      <c r="E7" s="7">
        <f>BOM!K27</f>
        <v>125.76174</v>
      </c>
      <c r="F7" s="7">
        <f>BOM!L27</f>
        <v>6.3000000000000007</v>
      </c>
      <c r="G7" s="7">
        <f>BOM!M27</f>
        <v>0.66666666666666663</v>
      </c>
      <c r="H7" s="7">
        <f>BOM!N27</f>
        <v>1105.8447381331268</v>
      </c>
    </row>
    <row r="8" spans="2:11" ht="14.4" x14ac:dyDescent="0.3">
      <c r="B8" s="8"/>
      <c r="C8" s="8" t="s">
        <v>9</v>
      </c>
      <c r="D8" s="9">
        <f>BOM!J122</f>
        <v>2845.5457114508031</v>
      </c>
      <c r="E8" s="9">
        <f>BOM!K122</f>
        <v>1338.5525993960514</v>
      </c>
      <c r="F8" s="9">
        <f>BOM!L122</f>
        <v>87.854000000000013</v>
      </c>
      <c r="G8" s="9">
        <f>BOM!M122</f>
        <v>65.493333333333339</v>
      </c>
      <c r="H8" s="9">
        <f>BOM!N122</f>
        <v>4337.4456441801858</v>
      </c>
    </row>
    <row r="9" spans="2:11" ht="14.4" x14ac:dyDescent="0.3">
      <c r="B9" s="10"/>
      <c r="C9" s="10" t="s">
        <v>10</v>
      </c>
      <c r="D9" s="11">
        <f>BOM!J203</f>
        <v>1635.5857809956608</v>
      </c>
      <c r="E9" s="11">
        <f>BOM!K203</f>
        <v>2448.2327640000017</v>
      </c>
      <c r="F9" s="11">
        <f>BOM!L203</f>
        <v>12.47</v>
      </c>
      <c r="G9" s="11">
        <f>BOM!M203</f>
        <v>128.60000000000002</v>
      </c>
      <c r="H9" s="11">
        <f>BOM!N203</f>
        <v>4224.8885449956624</v>
      </c>
    </row>
    <row r="10" spans="2:11" ht="14.4" x14ac:dyDescent="0.3">
      <c r="B10" s="12"/>
      <c r="C10" s="12" t="s">
        <v>11</v>
      </c>
      <c r="D10" s="13">
        <f>BOM!J221</f>
        <v>1431.95933158</v>
      </c>
      <c r="E10" s="13">
        <f>BOM!K221</f>
        <v>320.56749999999994</v>
      </c>
      <c r="F10" s="13">
        <f>BOM!L221</f>
        <v>3.4500000000000006</v>
      </c>
      <c r="G10" s="13">
        <f>BOM!M221</f>
        <v>8</v>
      </c>
      <c r="H10" s="13">
        <f>BOM!N221</f>
        <v>1763.97683158</v>
      </c>
    </row>
    <row r="11" spans="2:11" ht="14.4" x14ac:dyDescent="0.3">
      <c r="B11" s="14"/>
      <c r="C11" s="14" t="s">
        <v>12</v>
      </c>
      <c r="D11" s="15">
        <f>BOM!J256</f>
        <v>171.34161073299998</v>
      </c>
      <c r="E11" s="15">
        <f>BOM!K256</f>
        <v>328.46904999999998</v>
      </c>
      <c r="F11" s="15">
        <f>BOM!L256</f>
        <v>11.072999999999999</v>
      </c>
      <c r="G11" s="15">
        <f>BOM!M256</f>
        <v>17.738</v>
      </c>
      <c r="H11" s="15">
        <f>BOM!N256</f>
        <v>528.62166073300011</v>
      </c>
    </row>
    <row r="12" spans="2:11" ht="14.4" x14ac:dyDescent="0.3">
      <c r="B12" s="16"/>
      <c r="C12" s="16" t="s">
        <v>13</v>
      </c>
      <c r="D12" s="17">
        <f>BOM!J285</f>
        <v>110.50657237454342</v>
      </c>
      <c r="E12" s="17">
        <f>BOM!K285</f>
        <v>138.95510000000004</v>
      </c>
      <c r="F12" s="17">
        <f>BOM!L285</f>
        <v>4.008</v>
      </c>
      <c r="G12" s="17">
        <f>BOM!M285</f>
        <v>11.333333333333334</v>
      </c>
      <c r="H12" s="17">
        <f>BOM!N285</f>
        <v>264.80300570787671</v>
      </c>
    </row>
    <row r="13" spans="2:11" ht="14.4" x14ac:dyDescent="0.3">
      <c r="B13" s="18"/>
      <c r="C13" s="18" t="s">
        <v>14</v>
      </c>
      <c r="D13" s="19">
        <f>BOM!J357</f>
        <v>1779.858258598937</v>
      </c>
      <c r="E13" s="19">
        <f>BOM!K357</f>
        <v>1285.7350679999997</v>
      </c>
      <c r="F13" s="19">
        <f>BOM!L357</f>
        <v>27.499999999999996</v>
      </c>
      <c r="G13" s="19">
        <f>BOM!M357</f>
        <v>67.333333333333343</v>
      </c>
      <c r="H13" s="19">
        <f>BOM!N357</f>
        <v>3160.42665993227</v>
      </c>
    </row>
    <row r="14" spans="2:11" ht="14.4" x14ac:dyDescent="0.3">
      <c r="B14" s="20"/>
      <c r="C14" s="20" t="s">
        <v>15</v>
      </c>
      <c r="D14" s="21">
        <f>BOM!J369</f>
        <v>1951.4781784100001</v>
      </c>
      <c r="E14" s="21">
        <f>BOM!K369</f>
        <v>327.01599999999996</v>
      </c>
      <c r="F14" s="21">
        <f>BOM!L369</f>
        <v>60.32</v>
      </c>
      <c r="G14" s="21">
        <f>BOM!M369</f>
        <v>0</v>
      </c>
      <c r="H14" s="21">
        <f>BOM!N369</f>
        <v>2338.8141784100003</v>
      </c>
    </row>
    <row r="16" spans="2:11" ht="13.8" thickBot="1" x14ac:dyDescent="0.3">
      <c r="B16" s="22"/>
      <c r="C16" s="22" t="s">
        <v>16</v>
      </c>
      <c r="D16" s="23">
        <f>SUM(D7:D14)</f>
        <v>10899.391775609405</v>
      </c>
      <c r="E16" s="23">
        <f>SUM(E7:E14)</f>
        <v>6313.2898213960525</v>
      </c>
      <c r="F16" s="23">
        <f>SUM(F7:F14)</f>
        <v>212.97499999999999</v>
      </c>
      <c r="G16" s="23">
        <f>SUM(G7:G14)</f>
        <v>299.16466666666673</v>
      </c>
      <c r="H16" s="23">
        <f>SUM(D16:G16)</f>
        <v>17724.821263672125</v>
      </c>
      <c r="K16" s="24"/>
    </row>
    <row r="17" spans="2:6" ht="13.8" thickTop="1" x14ac:dyDescent="0.25"/>
    <row r="19" spans="2:6" x14ac:dyDescent="0.25">
      <c r="B19" s="1" t="s">
        <v>17</v>
      </c>
    </row>
    <row r="24" spans="2:6" x14ac:dyDescent="0.25">
      <c r="F24" s="1" t="s">
        <v>18</v>
      </c>
    </row>
    <row r="25" spans="2:6" x14ac:dyDescent="0.25">
      <c r="F25" s="1" t="s">
        <v>19</v>
      </c>
    </row>
  </sheetData>
  <mergeCells count="3">
    <mergeCell ref="B2:H2"/>
    <mergeCell ref="C4:D4"/>
    <mergeCell ref="C5:D5"/>
  </mergeCells>
  <conditionalFormatting sqref="C4:D4">
    <cfRule type="cellIs" dxfId="1" priority="2" stopIfTrue="1" operator="equal">
      <formula>0</formula>
    </cfRule>
  </conditionalFormatting>
  <conditionalFormatting sqref="C5:D5">
    <cfRule type="expression" dxfId="0" priority="1" stopIfTrue="1">
      <formula>$C$4=0</formula>
    </cfRule>
  </conditionalFormatting>
  <pageMargins left="0.7" right="0.7" top="0.75" bottom="0.75" header="0.3" footer="0.3"/>
  <pageSetup paperSize="9" scale="82" orientation="landscape" horizontalDpi="1200" verticalDpi="120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92"/>
  <sheetViews>
    <sheetView showGridLines="0" workbookViewId="0"/>
  </sheetViews>
  <sheetFormatPr defaultColWidth="11.44140625" defaultRowHeight="14.4" x14ac:dyDescent="0.3"/>
  <cols>
    <col min="2" max="2" width="29.6640625" customWidth="1"/>
    <col min="3" max="3" width="28" customWidth="1"/>
    <col min="13" max="13" width="19.109375" customWidth="1"/>
    <col min="14" max="14" width="14.664062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N12</f>
        <v>97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2</v>
      </c>
    </row>
    <row r="3" spans="1:14" x14ac:dyDescent="0.3">
      <c r="A3" s="197" t="s">
        <v>534</v>
      </c>
      <c r="B3" t="s">
        <v>705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1" t="s">
        <v>61</v>
      </c>
      <c r="D4" s="197" t="s">
        <v>541</v>
      </c>
      <c r="J4" s="197" t="s">
        <v>538</v>
      </c>
      <c r="M4" s="197" t="s">
        <v>539</v>
      </c>
      <c r="N4" s="164">
        <f>N2*N1</f>
        <v>194</v>
      </c>
    </row>
    <row r="5" spans="1:14" x14ac:dyDescent="0.3">
      <c r="A5" s="197" t="s">
        <v>537</v>
      </c>
      <c r="B5" s="297" t="s">
        <v>60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s="196" customFormat="1" ht="15" customHeight="1" x14ac:dyDescent="0.3">
      <c r="A7" s="1001" t="s">
        <v>542</v>
      </c>
      <c r="B7" s="1003" t="s">
        <v>713</v>
      </c>
      <c r="C7" s="1003"/>
      <c r="D7" s="1003"/>
    </row>
    <row r="8" spans="1:14" s="196" customFormat="1" ht="15" customHeight="1" x14ac:dyDescent="0.3">
      <c r="A8" s="1002"/>
      <c r="B8" s="1003"/>
      <c r="C8" s="1003"/>
      <c r="D8" s="1003"/>
    </row>
    <row r="9" spans="1:14" x14ac:dyDescent="0.3">
      <c r="A9" s="201"/>
      <c r="B9" s="308"/>
      <c r="C9" s="308"/>
      <c r="D9" s="308"/>
      <c r="E9" s="201"/>
    </row>
    <row r="10" spans="1:14" x14ac:dyDescent="0.3">
      <c r="A10" s="202" t="s">
        <v>544</v>
      </c>
      <c r="B10" s="202" t="s">
        <v>581</v>
      </c>
      <c r="C10" s="202" t="s">
        <v>549</v>
      </c>
      <c r="D10" s="202" t="s">
        <v>550</v>
      </c>
      <c r="E10" s="202" t="s">
        <v>567</v>
      </c>
      <c r="F10" s="203" t="s">
        <v>568</v>
      </c>
      <c r="G10" s="203" t="s">
        <v>569</v>
      </c>
      <c r="H10" s="203" t="s">
        <v>570</v>
      </c>
      <c r="I10" s="203" t="s">
        <v>582</v>
      </c>
      <c r="J10" s="203" t="s">
        <v>583</v>
      </c>
      <c r="K10" s="203" t="s">
        <v>584</v>
      </c>
      <c r="L10" s="203" t="s">
        <v>585</v>
      </c>
      <c r="M10" s="203" t="s">
        <v>28</v>
      </c>
      <c r="N10" s="203" t="s">
        <v>547</v>
      </c>
    </row>
    <row r="11" spans="1:14" s="196" customFormat="1" x14ac:dyDescent="0.3">
      <c r="A11" s="267">
        <v>10</v>
      </c>
      <c r="B11" s="225" t="s">
        <v>714</v>
      </c>
      <c r="C11" s="184" t="s">
        <v>715</v>
      </c>
      <c r="D11" s="309">
        <v>97</v>
      </c>
      <c r="E11" s="267"/>
      <c r="F11" s="184" t="s">
        <v>556</v>
      </c>
      <c r="G11" s="267"/>
      <c r="H11" s="267"/>
      <c r="I11" s="267"/>
      <c r="J11" s="267"/>
      <c r="K11" s="267"/>
      <c r="L11" s="267"/>
      <c r="M11" s="267">
        <v>1</v>
      </c>
      <c r="N11" s="310">
        <f>M11*D11</f>
        <v>97</v>
      </c>
    </row>
    <row r="12" spans="1:14" x14ac:dyDescent="0.3">
      <c r="A12" s="178"/>
      <c r="B12" s="178"/>
      <c r="C12" s="178"/>
      <c r="D12" s="178"/>
      <c r="E12" s="178"/>
      <c r="F12" s="178"/>
      <c r="G12" s="178"/>
      <c r="H12" s="178"/>
      <c r="I12" s="178"/>
      <c r="J12" s="178"/>
      <c r="K12" s="178"/>
      <c r="L12" s="178"/>
      <c r="M12" s="216" t="s">
        <v>547</v>
      </c>
      <c r="N12" s="305">
        <f>N11</f>
        <v>97</v>
      </c>
    </row>
    <row r="14" spans="1:14" x14ac:dyDescent="0.3">
      <c r="A14" s="153"/>
      <c r="B14" s="153"/>
      <c r="C14" s="153"/>
      <c r="D14" s="153"/>
      <c r="E14" s="153"/>
      <c r="F14" s="153"/>
      <c r="G14" s="153"/>
      <c r="H14" s="153"/>
      <c r="I14" s="153"/>
      <c r="J14" s="153"/>
      <c r="K14" s="153"/>
    </row>
    <row r="15" spans="1:14" x14ac:dyDescent="0.3">
      <c r="A15" s="153"/>
      <c r="B15" s="153"/>
      <c r="C15" s="153"/>
      <c r="D15" s="153"/>
      <c r="E15" s="153"/>
      <c r="F15" s="153"/>
      <c r="G15" s="153"/>
      <c r="H15" s="153"/>
      <c r="I15" s="153"/>
      <c r="J15" s="153"/>
      <c r="K15" s="153"/>
    </row>
    <row r="16" spans="1:14" x14ac:dyDescent="0.3">
      <c r="A16" s="153"/>
      <c r="B16" s="153"/>
      <c r="C16" s="153"/>
      <c r="D16" s="153"/>
      <c r="E16" s="153"/>
      <c r="F16" s="153"/>
      <c r="G16" s="153"/>
      <c r="H16" s="153"/>
      <c r="I16" s="153"/>
      <c r="J16" s="153"/>
      <c r="K16" s="153"/>
    </row>
    <row r="17" spans="1:11" x14ac:dyDescent="0.3">
      <c r="A17" s="153"/>
      <c r="B17" s="153"/>
      <c r="C17" s="153"/>
      <c r="D17" s="153"/>
      <c r="E17" s="153"/>
      <c r="F17" s="153"/>
      <c r="G17" s="153"/>
      <c r="H17" s="153"/>
      <c r="I17" s="153"/>
      <c r="J17" s="153"/>
      <c r="K17" s="153"/>
    </row>
    <row r="18" spans="1:11" x14ac:dyDescent="0.3">
      <c r="A18" s="153"/>
      <c r="B18" s="153"/>
      <c r="C18" s="153"/>
      <c r="D18" s="153"/>
      <c r="E18" s="153"/>
      <c r="F18" s="153"/>
      <c r="G18" s="153"/>
      <c r="H18" s="153"/>
      <c r="I18" s="153"/>
      <c r="J18" s="153"/>
      <c r="K18" s="153"/>
    </row>
    <row r="19" spans="1:11" x14ac:dyDescent="0.3">
      <c r="A19" s="153"/>
      <c r="B19" s="153"/>
      <c r="C19" s="153"/>
      <c r="D19" s="153"/>
      <c r="E19" s="153"/>
      <c r="F19" s="153"/>
      <c r="G19" s="153"/>
      <c r="H19" s="153"/>
      <c r="I19" s="153"/>
      <c r="J19" s="153"/>
      <c r="K19" s="153"/>
    </row>
    <row r="20" spans="1:11" x14ac:dyDescent="0.3">
      <c r="A20" s="153"/>
      <c r="B20" s="153"/>
      <c r="C20" s="153"/>
      <c r="D20" s="153"/>
      <c r="E20" s="153"/>
      <c r="F20" s="153"/>
      <c r="G20" s="153"/>
      <c r="H20" s="153"/>
      <c r="I20" s="153"/>
      <c r="J20" s="153"/>
      <c r="K20" s="153"/>
    </row>
    <row r="21" spans="1:11" x14ac:dyDescent="0.3">
      <c r="A21" s="153"/>
      <c r="B21" s="153"/>
      <c r="C21" s="153"/>
      <c r="D21" s="153"/>
      <c r="E21" s="153"/>
      <c r="F21" s="153"/>
      <c r="G21" s="153"/>
      <c r="H21" s="153"/>
      <c r="I21" s="153"/>
      <c r="J21" s="153"/>
      <c r="K21" s="153"/>
    </row>
    <row r="22" spans="1:11" x14ac:dyDescent="0.3">
      <c r="A22" s="153"/>
      <c r="B22" s="153"/>
      <c r="C22" s="153"/>
      <c r="D22" s="153"/>
      <c r="E22" s="153"/>
      <c r="F22" s="153"/>
      <c r="G22" s="153"/>
      <c r="H22" s="153"/>
      <c r="I22" s="153"/>
      <c r="J22" s="153"/>
      <c r="K22" s="153"/>
    </row>
    <row r="23" spans="1:11" x14ac:dyDescent="0.3">
      <c r="A23" s="153"/>
      <c r="B23" s="153"/>
      <c r="C23" s="153"/>
      <c r="D23" s="153"/>
      <c r="E23" s="153"/>
      <c r="F23" s="153"/>
      <c r="G23" s="153"/>
      <c r="H23" s="153"/>
      <c r="I23" s="153"/>
      <c r="J23" s="153"/>
      <c r="K23" s="153"/>
    </row>
    <row r="24" spans="1:11" x14ac:dyDescent="0.3">
      <c r="A24" s="153"/>
      <c r="B24" s="153"/>
      <c r="C24" s="153"/>
      <c r="D24" s="153"/>
      <c r="E24" s="153"/>
      <c r="F24" s="153"/>
      <c r="G24" s="153"/>
      <c r="H24" s="153"/>
      <c r="I24" s="153"/>
      <c r="J24" s="153"/>
      <c r="K24" s="153"/>
    </row>
    <row r="25" spans="1:11" x14ac:dyDescent="0.3">
      <c r="A25" s="153"/>
      <c r="B25" s="153"/>
      <c r="C25" s="153"/>
      <c r="D25" s="153"/>
      <c r="E25" s="153"/>
      <c r="F25" s="153"/>
      <c r="G25" s="153"/>
      <c r="H25" s="153"/>
      <c r="I25" s="153"/>
      <c r="J25" s="153"/>
      <c r="K25" s="153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</sheetData>
  <mergeCells count="2">
    <mergeCell ref="A7:A8"/>
    <mergeCell ref="B7:D8"/>
  </mergeCells>
  <pageMargins left="0.7" right="0.7" top="0.75" bottom="0.75" header="0.3" footer="0.3"/>
  <pageSetup paperSize="9" scale="63" fitToHeight="0" orientation="landscape" r:id="rId1"/>
</worksheet>
</file>

<file path=xl/worksheets/sheet2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CC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9.44140625" style="161" customWidth="1"/>
    <col min="3" max="3" width="18.6640625" style="161" customWidth="1"/>
    <col min="4" max="4" width="13.44140625" style="161" bestFit="1" customWidth="1"/>
    <col min="5" max="5" width="14.109375" style="161" bestFit="1" customWidth="1"/>
    <col min="6" max="6" width="12" style="161" bestFit="1" customWidth="1"/>
    <col min="7" max="7" width="21.33203125" style="161" customWidth="1"/>
    <col min="8" max="8" width="13.88671875" style="161" bestFit="1" customWidth="1"/>
    <col min="9" max="9" width="17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20.8867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570" t="s">
        <v>523</v>
      </c>
      <c r="B1" s="161" t="s">
        <v>524</v>
      </c>
      <c r="J1" s="571" t="s">
        <v>528</v>
      </c>
      <c r="K1" s="163">
        <v>81</v>
      </c>
      <c r="M1" s="570" t="s">
        <v>546</v>
      </c>
      <c r="N1" s="336">
        <f>N11+I16</f>
        <v>3.5107499999999998</v>
      </c>
    </row>
    <row r="2" spans="1:14" x14ac:dyDescent="0.3">
      <c r="A2" s="570" t="s">
        <v>532</v>
      </c>
      <c r="B2" s="161" t="s">
        <v>1418</v>
      </c>
      <c r="D2" s="570" t="s">
        <v>536</v>
      </c>
      <c r="M2" s="570" t="s">
        <v>533</v>
      </c>
      <c r="N2" s="165">
        <v>2</v>
      </c>
    </row>
    <row r="3" spans="1:14" x14ac:dyDescent="0.3">
      <c r="A3" s="570" t="s">
        <v>534</v>
      </c>
      <c r="B3" s="161" t="s">
        <v>261</v>
      </c>
      <c r="D3" s="570" t="s">
        <v>538</v>
      </c>
      <c r="J3" s="570" t="s">
        <v>536</v>
      </c>
    </row>
    <row r="4" spans="1:14" x14ac:dyDescent="0.3">
      <c r="A4" s="570" t="s">
        <v>545</v>
      </c>
      <c r="B4" s="166" t="s">
        <v>1905</v>
      </c>
      <c r="D4" s="570" t="s">
        <v>541</v>
      </c>
      <c r="J4" s="570" t="s">
        <v>538</v>
      </c>
      <c r="M4" s="570" t="s">
        <v>539</v>
      </c>
      <c r="N4" s="336">
        <f>N1*N2</f>
        <v>7.0214999999999996</v>
      </c>
    </row>
    <row r="5" spans="1:14" x14ac:dyDescent="0.3">
      <c r="A5" s="570" t="s">
        <v>537</v>
      </c>
      <c r="B5" s="199" t="s">
        <v>2012</v>
      </c>
      <c r="J5" s="570" t="s">
        <v>541</v>
      </c>
    </row>
    <row r="6" spans="1:14" x14ac:dyDescent="0.3">
      <c r="A6" s="570" t="s">
        <v>540</v>
      </c>
      <c r="B6" s="161" t="s">
        <v>36</v>
      </c>
    </row>
    <row r="7" spans="1:14" x14ac:dyDescent="0.3">
      <c r="A7" s="570" t="s">
        <v>542</v>
      </c>
    </row>
    <row r="9" spans="1:14" s="178" customFormat="1" x14ac:dyDescent="0.3">
      <c r="A9" s="572" t="s">
        <v>544</v>
      </c>
      <c r="B9" s="572" t="s">
        <v>581</v>
      </c>
      <c r="C9" s="572" t="s">
        <v>549</v>
      </c>
      <c r="D9" s="572" t="s">
        <v>550</v>
      </c>
      <c r="E9" s="572" t="s">
        <v>567</v>
      </c>
      <c r="F9" s="572" t="s">
        <v>568</v>
      </c>
      <c r="G9" s="572" t="s">
        <v>569</v>
      </c>
      <c r="H9" s="572" t="s">
        <v>570</v>
      </c>
      <c r="I9" s="572" t="s">
        <v>582</v>
      </c>
      <c r="J9" s="572" t="s">
        <v>583</v>
      </c>
      <c r="K9" s="572" t="s">
        <v>584</v>
      </c>
      <c r="L9" s="572" t="s">
        <v>585</v>
      </c>
      <c r="M9" s="572" t="s">
        <v>28</v>
      </c>
      <c r="N9" s="572" t="s">
        <v>547</v>
      </c>
    </row>
    <row r="10" spans="1:14" s="248" customFormat="1" ht="28.8" x14ac:dyDescent="0.3">
      <c r="A10" s="184">
        <v>10</v>
      </c>
      <c r="B10" s="184" t="s">
        <v>1801</v>
      </c>
      <c r="C10" s="184" t="s">
        <v>607</v>
      </c>
      <c r="D10" s="362">
        <v>3.3</v>
      </c>
      <c r="E10" s="184">
        <v>0.5</v>
      </c>
      <c r="F10" s="184" t="s">
        <v>644</v>
      </c>
      <c r="G10" s="184">
        <v>0.3</v>
      </c>
      <c r="H10" s="268" t="s">
        <v>644</v>
      </c>
      <c r="I10" s="269" t="s">
        <v>2013</v>
      </c>
      <c r="J10" s="654">
        <f>E10*G10</f>
        <v>0.15</v>
      </c>
      <c r="K10" s="655">
        <v>3.0000000000000001E-3</v>
      </c>
      <c r="L10" s="268">
        <v>950</v>
      </c>
      <c r="M10" s="622">
        <v>1</v>
      </c>
      <c r="N10" s="363">
        <f>IF(J10="",D10*M10,D10*J10*K10*L10*M10)</f>
        <v>1.4107499999999997</v>
      </c>
    </row>
    <row r="11" spans="1:14" s="178" customFormat="1" x14ac:dyDescent="0.3">
      <c r="M11" s="574" t="s">
        <v>547</v>
      </c>
      <c r="N11" s="575">
        <f>SUM(N10:N10)</f>
        <v>1.4107499999999997</v>
      </c>
    </row>
    <row r="13" spans="1:14" s="178" customFormat="1" x14ac:dyDescent="0.3">
      <c r="A13" s="576" t="s">
        <v>544</v>
      </c>
      <c r="B13" s="576" t="s">
        <v>548</v>
      </c>
      <c r="C13" s="576" t="s">
        <v>549</v>
      </c>
      <c r="D13" s="576" t="s">
        <v>550</v>
      </c>
      <c r="E13" s="576" t="s">
        <v>551</v>
      </c>
      <c r="F13" s="576" t="s">
        <v>28</v>
      </c>
      <c r="G13" s="576" t="s">
        <v>552</v>
      </c>
      <c r="H13" s="576" t="s">
        <v>553</v>
      </c>
      <c r="I13" s="576" t="s">
        <v>547</v>
      </c>
    </row>
    <row r="14" spans="1:14" ht="28.8" x14ac:dyDescent="0.3">
      <c r="A14" s="622">
        <v>10</v>
      </c>
      <c r="B14" s="315" t="s">
        <v>589</v>
      </c>
      <c r="C14" s="622" t="s">
        <v>1950</v>
      </c>
      <c r="D14" s="362">
        <v>1.3</v>
      </c>
      <c r="E14" s="656"/>
      <c r="F14" s="622">
        <v>1</v>
      </c>
      <c r="G14" s="622"/>
      <c r="H14" s="622"/>
      <c r="I14" s="362">
        <f>IF('FR 08019'!$H14&lt;&gt;"",'FR 08019'!$D14*'FR 08019'!$F14*'FR 08019'!$H14,'FR 08019'!$D14*'FR 08019'!$F14)</f>
        <v>1.3</v>
      </c>
    </row>
    <row r="15" spans="1:14" ht="28.8" x14ac:dyDescent="0.3">
      <c r="A15" s="184">
        <v>20</v>
      </c>
      <c r="B15" s="180" t="s">
        <v>591</v>
      </c>
      <c r="C15" s="193" t="s">
        <v>1769</v>
      </c>
      <c r="D15" s="362">
        <v>0.01</v>
      </c>
      <c r="E15" s="184" t="s">
        <v>593</v>
      </c>
      <c r="F15" s="184">
        <v>160</v>
      </c>
      <c r="G15" s="168" t="s">
        <v>1826</v>
      </c>
      <c r="H15" s="184">
        <v>0.5</v>
      </c>
      <c r="I15" s="362">
        <f>IF('FR 08019'!$H15&lt;&gt;"",'FR 08019'!$D15*'FR 08019'!$F15*'FR 08019'!$H15,'FR 08019'!$D15*'FR 08019'!$F15)</f>
        <v>0.8</v>
      </c>
    </row>
    <row r="16" spans="1:14" s="178" customFormat="1" x14ac:dyDescent="0.3">
      <c r="A16" s="278"/>
      <c r="B16" s="278"/>
      <c r="C16" s="278"/>
      <c r="D16" s="278"/>
      <c r="E16" s="278"/>
      <c r="F16" s="278"/>
      <c r="G16" s="278"/>
      <c r="H16" s="577" t="s">
        <v>547</v>
      </c>
      <c r="I16" s="579">
        <f>SUM(I14:I15)</f>
        <v>2.1</v>
      </c>
    </row>
  </sheetData>
  <pageMargins left="0.7" right="0.7" top="0.75" bottom="0.75" header="0.3" footer="0.3"/>
  <pageSetup paperSize="9" scale="57" fitToHeight="0" orientation="landscape" r:id="rId1"/>
</worksheet>
</file>

<file path=xl/worksheets/sheet2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0000"/>
  </sheetPr>
  <dimension ref="A1"/>
  <sheetViews>
    <sheetView showGridLines="0" zoomScaleNormal="100" workbookViewId="0"/>
  </sheetViews>
  <sheetFormatPr defaultColWidth="11.5546875" defaultRowHeight="14.4" x14ac:dyDescent="0.3"/>
  <sheetData/>
  <pageMargins left="0.7" right="0.7" top="0.75" bottom="0.75" header="0.3" footer="0.3"/>
  <pageSetup paperSize="9" orientation="portrait" r:id="rId1"/>
  <drawing r:id="rId2"/>
</worksheet>
</file>

<file path=xl/worksheets/sheet2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249977111117893"/>
    <pageSetUpPr fitToPage="1"/>
  </sheetPr>
  <dimension ref="A1:N63"/>
  <sheetViews>
    <sheetView showGridLines="0" workbookViewId="0"/>
  </sheetViews>
  <sheetFormatPr defaultColWidth="9.109375" defaultRowHeight="14.4" x14ac:dyDescent="0.3"/>
  <cols>
    <col min="1" max="1" width="10.5546875" style="161" bestFit="1" customWidth="1"/>
    <col min="2" max="2" width="45.109375" style="161" customWidth="1"/>
    <col min="3" max="3" width="37.33203125" style="161" customWidth="1"/>
    <col min="4" max="4" width="14.6640625" style="161" customWidth="1"/>
    <col min="5" max="5" width="14" style="161" customWidth="1"/>
    <col min="6" max="6" width="9.6640625" style="161" customWidth="1"/>
    <col min="7" max="7" width="10.44140625" style="161" bestFit="1" customWidth="1"/>
    <col min="8" max="8" width="18.6640625" style="161" customWidth="1"/>
    <col min="9" max="9" width="15.44140625" style="16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8.88671875" style="161" customWidth="1"/>
    <col min="14" max="14" width="15.6640625" style="161" customWidth="1"/>
    <col min="15" max="16384" width="9.109375" style="161"/>
  </cols>
  <sheetData>
    <row r="1" spans="1:14" x14ac:dyDescent="0.3">
      <c r="A1" s="658" t="s">
        <v>523</v>
      </c>
      <c r="B1" s="161" t="s">
        <v>524</v>
      </c>
      <c r="J1" s="658" t="s">
        <v>528</v>
      </c>
      <c r="K1" s="163">
        <v>81</v>
      </c>
      <c r="M1" s="658" t="s">
        <v>531</v>
      </c>
      <c r="N1" s="336">
        <f>E12+N25+I46+J59+I63</f>
        <v>153.00555999999997</v>
      </c>
    </row>
    <row r="2" spans="1:14" x14ac:dyDescent="0.3">
      <c r="A2" s="658" t="s">
        <v>532</v>
      </c>
      <c r="B2" s="161" t="s">
        <v>285</v>
      </c>
      <c r="M2" s="658" t="s">
        <v>533</v>
      </c>
      <c r="N2" s="165">
        <v>1</v>
      </c>
    </row>
    <row r="3" spans="1:14" x14ac:dyDescent="0.3">
      <c r="A3" s="658" t="s">
        <v>534</v>
      </c>
      <c r="B3" s="161" t="s">
        <v>2014</v>
      </c>
      <c r="J3" s="658" t="s">
        <v>536</v>
      </c>
    </row>
    <row r="4" spans="1:14" x14ac:dyDescent="0.3">
      <c r="A4" s="658" t="s">
        <v>537</v>
      </c>
      <c r="B4" s="166" t="s">
        <v>286</v>
      </c>
      <c r="J4" s="658" t="s">
        <v>538</v>
      </c>
      <c r="M4" s="658" t="s">
        <v>539</v>
      </c>
      <c r="N4" s="336">
        <f>N1*N2</f>
        <v>153.00555999999997</v>
      </c>
    </row>
    <row r="5" spans="1:14" x14ac:dyDescent="0.3">
      <c r="A5" s="658" t="s">
        <v>540</v>
      </c>
      <c r="B5" s="161" t="s">
        <v>36</v>
      </c>
      <c r="J5" s="658" t="s">
        <v>541</v>
      </c>
    </row>
    <row r="6" spans="1:14" x14ac:dyDescent="0.3">
      <c r="A6" s="658" t="s">
        <v>542</v>
      </c>
      <c r="B6" s="161" t="s">
        <v>2015</v>
      </c>
    </row>
    <row r="8" spans="1:14" x14ac:dyDescent="0.3">
      <c r="A8" s="659" t="s">
        <v>544</v>
      </c>
      <c r="B8" s="659" t="s">
        <v>545</v>
      </c>
      <c r="C8" s="659" t="s">
        <v>546</v>
      </c>
      <c r="D8" s="659" t="s">
        <v>28</v>
      </c>
      <c r="E8" s="659" t="s">
        <v>547</v>
      </c>
    </row>
    <row r="9" spans="1:14" x14ac:dyDescent="0.3">
      <c r="A9" s="168">
        <v>10</v>
      </c>
      <c r="B9" s="168" t="s">
        <v>2016</v>
      </c>
      <c r="C9" s="323">
        <f>'EL 01001'!N1</f>
        <v>1.7206528000000001</v>
      </c>
      <c r="D9" s="215">
        <v>2</v>
      </c>
      <c r="E9" s="363">
        <f>C9*D9</f>
        <v>3.4413056000000002</v>
      </c>
    </row>
    <row r="10" spans="1:14" x14ac:dyDescent="0.3">
      <c r="A10" s="168">
        <v>20</v>
      </c>
      <c r="B10" s="168" t="s">
        <v>2017</v>
      </c>
      <c r="C10" s="323">
        <f>'EL 01002'!N1</f>
        <v>12.934003333333335</v>
      </c>
      <c r="D10" s="215">
        <v>1</v>
      </c>
      <c r="E10" s="363">
        <f>C10*D10</f>
        <v>12.934003333333335</v>
      </c>
    </row>
    <row r="11" spans="1:14" x14ac:dyDescent="0.3">
      <c r="A11" s="168">
        <v>30</v>
      </c>
      <c r="B11" s="168" t="s">
        <v>2018</v>
      </c>
      <c r="C11" s="323">
        <f>'EL 01003'!N1</f>
        <v>2.4530844000000003</v>
      </c>
      <c r="D11" s="215">
        <v>1</v>
      </c>
      <c r="E11" s="363">
        <f>C11*D11</f>
        <v>2.4530844000000003</v>
      </c>
    </row>
    <row r="12" spans="1:14" x14ac:dyDescent="0.3">
      <c r="D12" s="660" t="s">
        <v>547</v>
      </c>
      <c r="E12" s="661">
        <f>SUM(E9:E11)</f>
        <v>18.828393333333338</v>
      </c>
    </row>
    <row r="14" spans="1:14" x14ac:dyDescent="0.3">
      <c r="A14" s="662" t="s">
        <v>544</v>
      </c>
      <c r="B14" s="662" t="s">
        <v>581</v>
      </c>
      <c r="C14" s="662" t="s">
        <v>549</v>
      </c>
      <c r="D14" s="662" t="s">
        <v>550</v>
      </c>
      <c r="E14" s="662" t="s">
        <v>567</v>
      </c>
      <c r="F14" s="662" t="s">
        <v>568</v>
      </c>
      <c r="G14" s="662" t="s">
        <v>569</v>
      </c>
      <c r="H14" s="662" t="s">
        <v>570</v>
      </c>
      <c r="I14" s="662" t="s">
        <v>582</v>
      </c>
      <c r="J14" s="662" t="s">
        <v>583</v>
      </c>
      <c r="K14" s="662" t="s">
        <v>584</v>
      </c>
      <c r="L14" s="662" t="s">
        <v>585</v>
      </c>
      <c r="M14" s="662" t="s">
        <v>28</v>
      </c>
      <c r="N14" s="662" t="s">
        <v>547</v>
      </c>
    </row>
    <row r="15" spans="1:14" x14ac:dyDescent="0.3">
      <c r="A15" s="168">
        <v>10</v>
      </c>
      <c r="B15" s="168" t="s">
        <v>625</v>
      </c>
      <c r="C15" s="168" t="s">
        <v>2019</v>
      </c>
      <c r="D15" s="302">
        <v>10</v>
      </c>
      <c r="E15" s="168">
        <v>2E-3</v>
      </c>
      <c r="F15" s="168" t="s">
        <v>627</v>
      </c>
      <c r="G15" s="168"/>
      <c r="H15" s="219"/>
      <c r="I15" s="269"/>
      <c r="J15" s="227"/>
      <c r="K15" s="597"/>
      <c r="L15" s="219"/>
      <c r="M15" s="171">
        <v>4.3999999999999997E-2</v>
      </c>
      <c r="N15" s="322">
        <f>D15*M15</f>
        <v>0.43999999999999995</v>
      </c>
    </row>
    <row r="16" spans="1:14" s="248" customFormat="1" x14ac:dyDescent="0.3">
      <c r="A16" s="184">
        <v>20</v>
      </c>
      <c r="B16" s="225" t="s">
        <v>768</v>
      </c>
      <c r="C16" s="184" t="s">
        <v>2020</v>
      </c>
      <c r="D16" s="362">
        <v>6.75</v>
      </c>
      <c r="E16" s="184">
        <v>25</v>
      </c>
      <c r="F16" s="184" t="s">
        <v>573</v>
      </c>
      <c r="G16" s="184"/>
      <c r="H16" s="268"/>
      <c r="I16" s="269"/>
      <c r="J16" s="270"/>
      <c r="K16" s="268"/>
      <c r="L16" s="268"/>
      <c r="M16" s="365">
        <v>4</v>
      </c>
      <c r="N16" s="322">
        <f>D16*M16</f>
        <v>27</v>
      </c>
    </row>
    <row r="17" spans="1:14" x14ac:dyDescent="0.3">
      <c r="A17" s="168">
        <v>30</v>
      </c>
      <c r="B17" s="256" t="s">
        <v>2021</v>
      </c>
      <c r="C17" s="184" t="s">
        <v>2022</v>
      </c>
      <c r="D17" s="362">
        <v>65</v>
      </c>
      <c r="E17" s="184">
        <v>1.3</v>
      </c>
      <c r="F17" s="184" t="s">
        <v>856</v>
      </c>
      <c r="G17" s="184"/>
      <c r="H17" s="268"/>
      <c r="I17" s="269"/>
      <c r="J17" s="270"/>
      <c r="K17" s="268"/>
      <c r="L17" s="268"/>
      <c r="M17" s="365">
        <v>1</v>
      </c>
      <c r="N17" s="322">
        <f>E17*D17</f>
        <v>84.5</v>
      </c>
    </row>
    <row r="18" spans="1:14" x14ac:dyDescent="0.3">
      <c r="A18" s="184">
        <v>40</v>
      </c>
      <c r="B18" s="225" t="s">
        <v>1529</v>
      </c>
      <c r="C18" s="184" t="s">
        <v>2023</v>
      </c>
      <c r="D18" s="362">
        <v>3</v>
      </c>
      <c r="E18" s="184"/>
      <c r="F18" s="184"/>
      <c r="G18" s="184"/>
      <c r="H18" s="268"/>
      <c r="I18" s="419"/>
      <c r="J18" s="270"/>
      <c r="K18" s="268"/>
      <c r="L18" s="274"/>
      <c r="M18" s="365">
        <v>1</v>
      </c>
      <c r="N18" s="322">
        <f>IF(J18="",D18*M18,D18*J18*K18*L18*M18)</f>
        <v>3</v>
      </c>
    </row>
    <row r="19" spans="1:14" x14ac:dyDescent="0.3">
      <c r="A19" s="168">
        <v>50</v>
      </c>
      <c r="B19" s="225" t="s">
        <v>2024</v>
      </c>
      <c r="C19" s="168" t="s">
        <v>2025</v>
      </c>
      <c r="D19" s="323">
        <v>3</v>
      </c>
      <c r="E19" s="168">
        <v>0.6</v>
      </c>
      <c r="F19" s="168" t="s">
        <v>644</v>
      </c>
      <c r="G19" s="168"/>
      <c r="H19" s="219"/>
      <c r="I19" s="220"/>
      <c r="J19" s="221"/>
      <c r="K19" s="219"/>
      <c r="L19" s="219"/>
      <c r="M19" s="339">
        <v>1</v>
      </c>
      <c r="N19" s="322">
        <f t="shared" ref="N19:N24" si="0">IF($E19&lt;&gt;"",$D19*$E19*$M19,$D19*$M19)</f>
        <v>1.7999999999999998</v>
      </c>
    </row>
    <row r="20" spans="1:14" x14ac:dyDescent="0.3">
      <c r="A20" s="184">
        <v>60</v>
      </c>
      <c r="B20" s="225" t="s">
        <v>2026</v>
      </c>
      <c r="C20" s="168" t="s">
        <v>2027</v>
      </c>
      <c r="D20" s="323">
        <v>0.05</v>
      </c>
      <c r="E20" s="168">
        <v>1</v>
      </c>
      <c r="F20" s="386" t="s">
        <v>2028</v>
      </c>
      <c r="G20" s="168"/>
      <c r="H20" s="219"/>
      <c r="I20" s="331"/>
      <c r="J20" s="221"/>
      <c r="K20" s="219"/>
      <c r="L20" s="219"/>
      <c r="M20" s="339">
        <v>2</v>
      </c>
      <c r="N20" s="322">
        <f t="shared" si="0"/>
        <v>0.1</v>
      </c>
    </row>
    <row r="21" spans="1:14" x14ac:dyDescent="0.3">
      <c r="A21" s="168">
        <v>70</v>
      </c>
      <c r="B21" s="225" t="s">
        <v>2026</v>
      </c>
      <c r="C21" s="168" t="s">
        <v>2023</v>
      </c>
      <c r="D21" s="323">
        <v>0.05</v>
      </c>
      <c r="E21" s="168">
        <v>1</v>
      </c>
      <c r="F21" s="386" t="s">
        <v>2028</v>
      </c>
      <c r="G21" s="168"/>
      <c r="H21" s="219"/>
      <c r="I21" s="331"/>
      <c r="J21" s="221"/>
      <c r="K21" s="219"/>
      <c r="L21" s="219"/>
      <c r="M21" s="339">
        <v>2</v>
      </c>
      <c r="N21" s="322">
        <f t="shared" si="0"/>
        <v>0.1</v>
      </c>
    </row>
    <row r="22" spans="1:14" x14ac:dyDescent="0.3">
      <c r="A22" s="184">
        <v>80</v>
      </c>
      <c r="B22" s="225" t="s">
        <v>2026</v>
      </c>
      <c r="C22" s="168" t="s">
        <v>2029</v>
      </c>
      <c r="D22" s="323">
        <v>0.05</v>
      </c>
      <c r="E22" s="168">
        <v>1</v>
      </c>
      <c r="F22" s="386" t="s">
        <v>2028</v>
      </c>
      <c r="G22" s="168"/>
      <c r="H22" s="219"/>
      <c r="I22" s="331"/>
      <c r="J22" s="221"/>
      <c r="K22" s="219"/>
      <c r="L22" s="219"/>
      <c r="M22" s="339">
        <v>2</v>
      </c>
      <c r="N22" s="322">
        <f t="shared" si="0"/>
        <v>0.1</v>
      </c>
    </row>
    <row r="23" spans="1:14" s="178" customFormat="1" x14ac:dyDescent="0.3">
      <c r="A23" s="168">
        <v>90</v>
      </c>
      <c r="B23" s="225" t="s">
        <v>2030</v>
      </c>
      <c r="C23" s="168" t="s">
        <v>2031</v>
      </c>
      <c r="D23" s="323">
        <v>1</v>
      </c>
      <c r="E23" s="168"/>
      <c r="F23" s="386"/>
      <c r="G23" s="168"/>
      <c r="H23" s="219"/>
      <c r="I23" s="331"/>
      <c r="J23" s="221"/>
      <c r="K23" s="219"/>
      <c r="L23" s="219"/>
      <c r="M23" s="339">
        <v>1</v>
      </c>
      <c r="N23" s="322">
        <f t="shared" si="0"/>
        <v>1</v>
      </c>
    </row>
    <row r="24" spans="1:14" x14ac:dyDescent="0.3">
      <c r="A24" s="184">
        <v>100</v>
      </c>
      <c r="B24" s="225" t="s">
        <v>2032</v>
      </c>
      <c r="C24" s="168" t="s">
        <v>2033</v>
      </c>
      <c r="D24" s="323">
        <v>0.25</v>
      </c>
      <c r="E24" s="168">
        <v>2</v>
      </c>
      <c r="F24" s="386" t="s">
        <v>2034</v>
      </c>
      <c r="G24" s="168"/>
      <c r="H24" s="219"/>
      <c r="I24" s="331"/>
      <c r="J24" s="221"/>
      <c r="K24" s="219"/>
      <c r="L24" s="219"/>
      <c r="M24" s="339">
        <v>1</v>
      </c>
      <c r="N24" s="322">
        <f t="shared" si="0"/>
        <v>0.5</v>
      </c>
    </row>
    <row r="25" spans="1:14" s="178" customFormat="1" x14ac:dyDescent="0.3">
      <c r="A25" s="278"/>
      <c r="B25" s="278"/>
      <c r="C25" s="278"/>
      <c r="D25" s="278"/>
      <c r="E25" s="278"/>
      <c r="F25" s="278"/>
      <c r="G25" s="278"/>
      <c r="H25" s="278"/>
      <c r="I25" s="278"/>
      <c r="J25" s="278"/>
      <c r="K25" s="278"/>
      <c r="L25" s="278"/>
      <c r="M25" s="663" t="s">
        <v>547</v>
      </c>
      <c r="N25" s="661">
        <f>SUM(N15:N24)</f>
        <v>118.53999999999998</v>
      </c>
    </row>
    <row r="27" spans="1:14" x14ac:dyDescent="0.3">
      <c r="A27" s="659" t="s">
        <v>544</v>
      </c>
      <c r="B27" s="659" t="s">
        <v>548</v>
      </c>
      <c r="C27" s="659" t="s">
        <v>549</v>
      </c>
      <c r="D27" s="659" t="s">
        <v>550</v>
      </c>
      <c r="E27" s="659" t="s">
        <v>551</v>
      </c>
      <c r="F27" s="659" t="s">
        <v>28</v>
      </c>
      <c r="G27" s="659" t="s">
        <v>552</v>
      </c>
      <c r="H27" s="659" t="s">
        <v>553</v>
      </c>
      <c r="I27" s="659" t="s">
        <v>547</v>
      </c>
      <c r="J27" s="178"/>
      <c r="K27" s="178"/>
      <c r="L27" s="178"/>
      <c r="M27" s="178"/>
      <c r="N27" s="178"/>
    </row>
    <row r="28" spans="1:14" x14ac:dyDescent="0.3">
      <c r="A28" s="168">
        <v>10</v>
      </c>
      <c r="B28" s="168" t="s">
        <v>650</v>
      </c>
      <c r="C28" s="168" t="s">
        <v>2035</v>
      </c>
      <c r="D28" s="243">
        <v>0.15</v>
      </c>
      <c r="E28" s="168" t="s">
        <v>593</v>
      </c>
      <c r="F28" s="168">
        <v>6</v>
      </c>
      <c r="G28" s="168"/>
      <c r="H28" s="168"/>
      <c r="I28" s="323">
        <f>F28*D28</f>
        <v>0.89999999999999991</v>
      </c>
    </row>
    <row r="29" spans="1:14" x14ac:dyDescent="0.3">
      <c r="A29" s="168">
        <v>20</v>
      </c>
      <c r="B29" s="180" t="s">
        <v>762</v>
      </c>
      <c r="C29" s="168" t="s">
        <v>2036</v>
      </c>
      <c r="D29" s="243">
        <v>5.25</v>
      </c>
      <c r="E29" s="180" t="s">
        <v>627</v>
      </c>
      <c r="F29" s="168">
        <v>2E-3</v>
      </c>
      <c r="G29" s="168"/>
      <c r="H29" s="168"/>
      <c r="I29" s="323">
        <f t="shared" ref="I29:I42" si="1">F29*D29</f>
        <v>1.0500000000000001E-2</v>
      </c>
    </row>
    <row r="30" spans="1:14" x14ac:dyDescent="0.3">
      <c r="A30" s="168">
        <v>30</v>
      </c>
      <c r="B30" s="180" t="s">
        <v>557</v>
      </c>
      <c r="C30" s="171" t="s">
        <v>2037</v>
      </c>
      <c r="D30" s="323">
        <v>0.06</v>
      </c>
      <c r="E30" s="168" t="s">
        <v>556</v>
      </c>
      <c r="F30" s="168">
        <v>1</v>
      </c>
      <c r="G30" s="168"/>
      <c r="H30" s="168"/>
      <c r="I30" s="323">
        <f t="shared" si="1"/>
        <v>0.06</v>
      </c>
    </row>
    <row r="31" spans="1:14" x14ac:dyDescent="0.3">
      <c r="A31" s="168">
        <v>40</v>
      </c>
      <c r="B31" s="180" t="s">
        <v>659</v>
      </c>
      <c r="C31" s="168" t="s">
        <v>2038</v>
      </c>
      <c r="D31" s="243">
        <v>0.5</v>
      </c>
      <c r="E31" s="180" t="s">
        <v>556</v>
      </c>
      <c r="F31" s="168">
        <v>8</v>
      </c>
      <c r="G31" s="168"/>
      <c r="H31" s="168"/>
      <c r="I31" s="323">
        <f t="shared" si="1"/>
        <v>4</v>
      </c>
    </row>
    <row r="32" spans="1:14" x14ac:dyDescent="0.3">
      <c r="A32" s="168">
        <v>50</v>
      </c>
      <c r="B32" s="180" t="s">
        <v>749</v>
      </c>
      <c r="C32" s="168" t="s">
        <v>2039</v>
      </c>
      <c r="D32" s="243">
        <v>0.13</v>
      </c>
      <c r="E32" s="180" t="s">
        <v>556</v>
      </c>
      <c r="F32" s="168">
        <v>1</v>
      </c>
      <c r="G32" s="168"/>
      <c r="H32" s="168"/>
      <c r="I32" s="323">
        <f t="shared" si="1"/>
        <v>0.13</v>
      </c>
    </row>
    <row r="33" spans="1:14" s="248" customFormat="1" x14ac:dyDescent="0.3">
      <c r="A33" s="168">
        <v>60</v>
      </c>
      <c r="B33" s="180" t="s">
        <v>557</v>
      </c>
      <c r="C33" s="171" t="s">
        <v>2018</v>
      </c>
      <c r="D33" s="243">
        <v>0.06</v>
      </c>
      <c r="E33" s="168" t="s">
        <v>556</v>
      </c>
      <c r="F33" s="168">
        <v>1</v>
      </c>
      <c r="G33" s="168"/>
      <c r="H33" s="168"/>
      <c r="I33" s="323">
        <f t="shared" si="1"/>
        <v>0.06</v>
      </c>
      <c r="J33" s="161"/>
      <c r="K33" s="161"/>
      <c r="L33" s="161"/>
      <c r="M33" s="161"/>
      <c r="N33" s="161"/>
    </row>
    <row r="34" spans="1:14" x14ac:dyDescent="0.3">
      <c r="A34" s="168">
        <v>70</v>
      </c>
      <c r="B34" s="180" t="s">
        <v>659</v>
      </c>
      <c r="C34" s="171" t="s">
        <v>2040</v>
      </c>
      <c r="D34" s="243">
        <v>0.5</v>
      </c>
      <c r="E34" s="168" t="s">
        <v>556</v>
      </c>
      <c r="F34" s="168">
        <v>2</v>
      </c>
      <c r="G34" s="168"/>
      <c r="H34" s="168"/>
      <c r="I34" s="323">
        <f t="shared" si="1"/>
        <v>1</v>
      </c>
    </row>
    <row r="35" spans="1:14" x14ac:dyDescent="0.3">
      <c r="A35" s="168">
        <v>80</v>
      </c>
      <c r="B35" s="184" t="s">
        <v>2041</v>
      </c>
      <c r="C35" s="171" t="s">
        <v>2040</v>
      </c>
      <c r="D35" s="243">
        <v>0.25</v>
      </c>
      <c r="E35" s="180" t="s">
        <v>556</v>
      </c>
      <c r="F35" s="184">
        <v>2</v>
      </c>
      <c r="G35" s="184"/>
      <c r="H35" s="184"/>
      <c r="I35" s="323">
        <f t="shared" si="1"/>
        <v>0.5</v>
      </c>
      <c r="J35" s="248"/>
      <c r="K35" s="248"/>
      <c r="L35" s="248"/>
      <c r="M35" s="248"/>
      <c r="N35" s="248"/>
    </row>
    <row r="36" spans="1:14" s="248" customFormat="1" x14ac:dyDescent="0.3">
      <c r="A36" s="168">
        <v>90</v>
      </c>
      <c r="B36" s="180" t="s">
        <v>557</v>
      </c>
      <c r="C36" s="171" t="s">
        <v>2023</v>
      </c>
      <c r="D36" s="243">
        <v>0.13</v>
      </c>
      <c r="E36" s="168" t="s">
        <v>556</v>
      </c>
      <c r="F36" s="168">
        <v>2</v>
      </c>
      <c r="G36" s="168"/>
      <c r="H36" s="168"/>
      <c r="I36" s="323">
        <f t="shared" si="1"/>
        <v>0.26</v>
      </c>
      <c r="J36" s="161"/>
      <c r="K36" s="161"/>
      <c r="L36" s="161"/>
      <c r="M36" s="161"/>
      <c r="N36" s="161"/>
    </row>
    <row r="37" spans="1:14" x14ac:dyDescent="0.3">
      <c r="A37" s="168">
        <v>100</v>
      </c>
      <c r="B37" s="180" t="s">
        <v>659</v>
      </c>
      <c r="C37" s="171" t="s">
        <v>2042</v>
      </c>
      <c r="D37" s="243">
        <v>0.06</v>
      </c>
      <c r="E37" s="168" t="s">
        <v>556</v>
      </c>
      <c r="F37" s="168">
        <v>4</v>
      </c>
      <c r="G37" s="168"/>
      <c r="H37" s="168"/>
      <c r="I37" s="323">
        <f t="shared" si="1"/>
        <v>0.24</v>
      </c>
    </row>
    <row r="38" spans="1:14" x14ac:dyDescent="0.3">
      <c r="A38" s="168">
        <v>110</v>
      </c>
      <c r="B38" s="184" t="s">
        <v>2041</v>
      </c>
      <c r="C38" s="171" t="s">
        <v>2042</v>
      </c>
      <c r="D38" s="243">
        <v>0.25</v>
      </c>
      <c r="E38" s="180" t="s">
        <v>556</v>
      </c>
      <c r="F38" s="184">
        <v>4</v>
      </c>
      <c r="G38" s="184"/>
      <c r="H38" s="184"/>
      <c r="I38" s="323">
        <f t="shared" si="1"/>
        <v>1</v>
      </c>
      <c r="J38" s="248"/>
      <c r="K38" s="248"/>
      <c r="L38" s="248"/>
      <c r="M38" s="248"/>
      <c r="N38" s="248"/>
    </row>
    <row r="39" spans="1:14" x14ac:dyDescent="0.3">
      <c r="A39" s="168">
        <v>120</v>
      </c>
      <c r="B39" s="285" t="s">
        <v>2043</v>
      </c>
      <c r="C39" s="168" t="s">
        <v>2044</v>
      </c>
      <c r="D39" s="243">
        <v>0.08</v>
      </c>
      <c r="E39" s="180" t="s">
        <v>556</v>
      </c>
      <c r="F39" s="168">
        <v>4</v>
      </c>
      <c r="G39" s="168"/>
      <c r="H39" s="168"/>
      <c r="I39" s="323">
        <f t="shared" si="1"/>
        <v>0.32</v>
      </c>
    </row>
    <row r="40" spans="1:14" x14ac:dyDescent="0.3">
      <c r="A40" s="168">
        <v>130</v>
      </c>
      <c r="B40" s="168" t="s">
        <v>2045</v>
      </c>
      <c r="C40" s="168" t="s">
        <v>2046</v>
      </c>
      <c r="D40" s="243">
        <v>0.08</v>
      </c>
      <c r="E40" s="168" t="s">
        <v>556</v>
      </c>
      <c r="F40" s="168">
        <v>8</v>
      </c>
      <c r="G40" s="168"/>
      <c r="H40" s="168"/>
      <c r="I40" s="323">
        <f t="shared" si="1"/>
        <v>0.64</v>
      </c>
    </row>
    <row r="41" spans="1:14" x14ac:dyDescent="0.3">
      <c r="A41" s="168">
        <v>140</v>
      </c>
      <c r="B41" s="180" t="s">
        <v>2047</v>
      </c>
      <c r="C41" s="168" t="s">
        <v>2048</v>
      </c>
      <c r="D41" s="243">
        <v>0.17</v>
      </c>
      <c r="E41" s="168" t="s">
        <v>556</v>
      </c>
      <c r="F41" s="168">
        <v>8</v>
      </c>
      <c r="G41" s="168"/>
      <c r="H41" s="168"/>
      <c r="I41" s="323">
        <f t="shared" si="1"/>
        <v>1.36</v>
      </c>
    </row>
    <row r="42" spans="1:14" x14ac:dyDescent="0.3">
      <c r="A42" s="168">
        <v>150</v>
      </c>
      <c r="B42" s="180" t="s">
        <v>2049</v>
      </c>
      <c r="C42" s="171" t="s">
        <v>2050</v>
      </c>
      <c r="D42" s="243">
        <v>1</v>
      </c>
      <c r="E42" s="180" t="s">
        <v>644</v>
      </c>
      <c r="F42" s="168">
        <v>0.5</v>
      </c>
      <c r="G42" s="168"/>
      <c r="H42" s="168"/>
      <c r="I42" s="323">
        <f t="shared" si="1"/>
        <v>0.5</v>
      </c>
    </row>
    <row r="43" spans="1:14" x14ac:dyDescent="0.3">
      <c r="A43" s="168">
        <v>160</v>
      </c>
      <c r="B43" s="180" t="s">
        <v>2051</v>
      </c>
      <c r="C43" s="168" t="s">
        <v>2027</v>
      </c>
      <c r="D43" s="243">
        <v>0.48</v>
      </c>
      <c r="E43" s="180" t="s">
        <v>556</v>
      </c>
      <c r="F43" s="168">
        <v>2</v>
      </c>
      <c r="G43" s="168"/>
      <c r="H43" s="168"/>
      <c r="I43" s="323">
        <f>F43*D43</f>
        <v>0.96</v>
      </c>
    </row>
    <row r="44" spans="1:14" s="178" customFormat="1" x14ac:dyDescent="0.3">
      <c r="A44" s="168">
        <v>170</v>
      </c>
      <c r="B44" s="180" t="s">
        <v>2051</v>
      </c>
      <c r="C44" s="168" t="s">
        <v>2052</v>
      </c>
      <c r="D44" s="664">
        <v>0.48</v>
      </c>
      <c r="E44" s="180" t="s">
        <v>556</v>
      </c>
      <c r="F44" s="168">
        <v>2</v>
      </c>
      <c r="G44" s="168"/>
      <c r="H44" s="168"/>
      <c r="I44" s="323">
        <f>F44*D44</f>
        <v>0.96</v>
      </c>
      <c r="J44" s="161"/>
      <c r="K44" s="161"/>
      <c r="L44" s="161"/>
      <c r="M44" s="161"/>
      <c r="N44" s="161"/>
    </row>
    <row r="45" spans="1:14" x14ac:dyDescent="0.3">
      <c r="A45" s="168">
        <v>180</v>
      </c>
      <c r="B45" s="180" t="s">
        <v>2051</v>
      </c>
      <c r="C45" s="168" t="s">
        <v>2053</v>
      </c>
      <c r="D45" s="664">
        <v>0.48</v>
      </c>
      <c r="E45" s="180" t="s">
        <v>556</v>
      </c>
      <c r="F45" s="168">
        <v>2</v>
      </c>
      <c r="G45" s="168"/>
      <c r="H45" s="168"/>
      <c r="I45" s="323">
        <f>F45*D45</f>
        <v>0.96</v>
      </c>
    </row>
    <row r="46" spans="1:14" s="178" customFormat="1" x14ac:dyDescent="0.3">
      <c r="H46" s="660" t="s">
        <v>547</v>
      </c>
      <c r="I46" s="661">
        <f>SUM(I28:I45)</f>
        <v>13.860500000000002</v>
      </c>
    </row>
    <row r="48" spans="1:14" x14ac:dyDescent="0.3">
      <c r="A48" s="659" t="s">
        <v>544</v>
      </c>
      <c r="B48" s="659" t="s">
        <v>566</v>
      </c>
      <c r="C48" s="659" t="s">
        <v>549</v>
      </c>
      <c r="D48" s="659" t="s">
        <v>550</v>
      </c>
      <c r="E48" s="659" t="s">
        <v>567</v>
      </c>
      <c r="F48" s="659" t="s">
        <v>568</v>
      </c>
      <c r="G48" s="659" t="s">
        <v>569</v>
      </c>
      <c r="H48" s="659" t="s">
        <v>570</v>
      </c>
      <c r="I48" s="659" t="s">
        <v>28</v>
      </c>
      <c r="J48" s="659" t="s">
        <v>547</v>
      </c>
      <c r="K48" s="178"/>
      <c r="L48" s="178"/>
      <c r="M48" s="178"/>
      <c r="N48" s="178"/>
    </row>
    <row r="49" spans="1:14" x14ac:dyDescent="0.3">
      <c r="A49" s="168">
        <v>10</v>
      </c>
      <c r="B49" s="356" t="s">
        <v>574</v>
      </c>
      <c r="C49" s="168" t="s">
        <v>2038</v>
      </c>
      <c r="D49" s="665">
        <v>0.01</v>
      </c>
      <c r="E49" s="168">
        <v>8</v>
      </c>
      <c r="F49" s="245" t="s">
        <v>573</v>
      </c>
      <c r="G49" s="168"/>
      <c r="H49" s="171"/>
      <c r="I49" s="327">
        <v>8</v>
      </c>
      <c r="J49" s="323">
        <f>D49*I49</f>
        <v>0.08</v>
      </c>
    </row>
    <row r="50" spans="1:14" x14ac:dyDescent="0.3">
      <c r="A50" s="168">
        <v>20</v>
      </c>
      <c r="B50" s="356" t="s">
        <v>618</v>
      </c>
      <c r="C50" s="168" t="s">
        <v>2038</v>
      </c>
      <c r="D50" s="665">
        <v>0.04</v>
      </c>
      <c r="E50" s="168">
        <v>8</v>
      </c>
      <c r="F50" s="245" t="s">
        <v>573</v>
      </c>
      <c r="G50" s="168"/>
      <c r="H50" s="171"/>
      <c r="I50" s="327">
        <v>8</v>
      </c>
      <c r="J50" s="323">
        <f t="shared" ref="J50:J56" si="2">D50*I50</f>
        <v>0.32</v>
      </c>
    </row>
    <row r="51" spans="1:14" x14ac:dyDescent="0.3">
      <c r="A51" s="168">
        <v>30</v>
      </c>
      <c r="B51" s="225" t="s">
        <v>684</v>
      </c>
      <c r="C51" s="168" t="s">
        <v>2054</v>
      </c>
      <c r="D51" s="665">
        <v>0.03</v>
      </c>
      <c r="E51" s="168">
        <v>6</v>
      </c>
      <c r="F51" s="245" t="s">
        <v>573</v>
      </c>
      <c r="G51" s="168">
        <v>10</v>
      </c>
      <c r="H51" s="171" t="s">
        <v>573</v>
      </c>
      <c r="I51" s="327">
        <v>2</v>
      </c>
      <c r="J51" s="323">
        <f t="shared" si="2"/>
        <v>0.06</v>
      </c>
    </row>
    <row r="52" spans="1:14" x14ac:dyDescent="0.3">
      <c r="A52" s="168">
        <v>40</v>
      </c>
      <c r="B52" s="389" t="s">
        <v>684</v>
      </c>
      <c r="C52" s="168" t="s">
        <v>2055</v>
      </c>
      <c r="D52" s="665">
        <v>0.03</v>
      </c>
      <c r="E52" s="168">
        <v>6</v>
      </c>
      <c r="F52" s="245" t="s">
        <v>573</v>
      </c>
      <c r="G52" s="168">
        <v>10</v>
      </c>
      <c r="H52" s="171" t="s">
        <v>573</v>
      </c>
      <c r="I52" s="327">
        <v>2</v>
      </c>
      <c r="J52" s="323">
        <f t="shared" si="2"/>
        <v>0.06</v>
      </c>
    </row>
    <row r="53" spans="1:14" x14ac:dyDescent="0.3">
      <c r="A53" s="168">
        <v>50</v>
      </c>
      <c r="B53" s="356" t="s">
        <v>618</v>
      </c>
      <c r="C53" s="168" t="s">
        <v>2056</v>
      </c>
      <c r="D53" s="665">
        <v>0.03</v>
      </c>
      <c r="E53" s="168">
        <v>6</v>
      </c>
      <c r="F53" s="245" t="s">
        <v>573</v>
      </c>
      <c r="G53" s="168"/>
      <c r="H53" s="171"/>
      <c r="I53" s="327">
        <v>4</v>
      </c>
      <c r="J53" s="323">
        <f t="shared" si="2"/>
        <v>0.12</v>
      </c>
    </row>
    <row r="54" spans="1:14" x14ac:dyDescent="0.3">
      <c r="A54" s="168">
        <v>60</v>
      </c>
      <c r="B54" s="225" t="s">
        <v>684</v>
      </c>
      <c r="C54" s="168" t="s">
        <v>2056</v>
      </c>
      <c r="D54" s="665">
        <v>7.0000000000000007E-2</v>
      </c>
      <c r="E54" s="168">
        <v>6</v>
      </c>
      <c r="F54" s="245" t="s">
        <v>573</v>
      </c>
      <c r="G54" s="168">
        <v>30</v>
      </c>
      <c r="H54" s="171" t="s">
        <v>573</v>
      </c>
      <c r="I54" s="327">
        <v>2</v>
      </c>
      <c r="J54" s="323">
        <f t="shared" si="2"/>
        <v>0.14000000000000001</v>
      </c>
    </row>
    <row r="55" spans="1:14" x14ac:dyDescent="0.3">
      <c r="A55" s="168">
        <v>70</v>
      </c>
      <c r="B55" s="389" t="s">
        <v>684</v>
      </c>
      <c r="C55" s="168" t="s">
        <v>2056</v>
      </c>
      <c r="D55" s="665">
        <v>0.04</v>
      </c>
      <c r="E55" s="168">
        <v>6</v>
      </c>
      <c r="F55" s="245" t="s">
        <v>573</v>
      </c>
      <c r="G55" s="168">
        <v>15</v>
      </c>
      <c r="H55" s="171" t="s">
        <v>573</v>
      </c>
      <c r="I55" s="327">
        <v>2</v>
      </c>
      <c r="J55" s="323">
        <f t="shared" si="2"/>
        <v>0.08</v>
      </c>
    </row>
    <row r="56" spans="1:14" x14ac:dyDescent="0.3">
      <c r="A56" s="168">
        <v>80</v>
      </c>
      <c r="B56" s="356" t="s">
        <v>618</v>
      </c>
      <c r="C56" s="168" t="s">
        <v>2057</v>
      </c>
      <c r="D56" s="665">
        <v>7.0000000000000007E-2</v>
      </c>
      <c r="E56" s="168">
        <v>10</v>
      </c>
      <c r="F56" s="245" t="s">
        <v>573</v>
      </c>
      <c r="G56" s="168"/>
      <c r="H56" s="171"/>
      <c r="I56" s="327">
        <v>2</v>
      </c>
      <c r="J56" s="323">
        <f t="shared" si="2"/>
        <v>0.14000000000000001</v>
      </c>
    </row>
    <row r="57" spans="1:14" s="178" customFormat="1" x14ac:dyDescent="0.3">
      <c r="A57" s="168">
        <v>90</v>
      </c>
      <c r="B57" s="389" t="s">
        <v>684</v>
      </c>
      <c r="C57" s="168" t="s">
        <v>2058</v>
      </c>
      <c r="D57" s="665">
        <v>0.04</v>
      </c>
      <c r="E57" s="168">
        <v>6</v>
      </c>
      <c r="F57" s="245" t="s">
        <v>573</v>
      </c>
      <c r="G57" s="168">
        <v>15</v>
      </c>
      <c r="H57" s="171" t="s">
        <v>573</v>
      </c>
      <c r="I57" s="327">
        <v>1</v>
      </c>
      <c r="J57" s="323">
        <f>D57*I57</f>
        <v>0.04</v>
      </c>
      <c r="K57" s="161"/>
      <c r="L57" s="161"/>
      <c r="M57" s="161"/>
      <c r="N57" s="161"/>
    </row>
    <row r="58" spans="1:14" x14ac:dyDescent="0.3">
      <c r="A58" s="168">
        <v>100</v>
      </c>
      <c r="B58" s="356" t="s">
        <v>618</v>
      </c>
      <c r="C58" s="168" t="s">
        <v>2058</v>
      </c>
      <c r="D58" s="665">
        <v>7.0000000000000007E-2</v>
      </c>
      <c r="E58" s="168">
        <v>10</v>
      </c>
      <c r="F58" s="245" t="s">
        <v>573</v>
      </c>
      <c r="G58" s="168"/>
      <c r="H58" s="171"/>
      <c r="I58" s="327">
        <v>1</v>
      </c>
      <c r="J58" s="323">
        <f>D58*I58</f>
        <v>7.0000000000000007E-2</v>
      </c>
    </row>
    <row r="59" spans="1:14" s="178" customFormat="1" x14ac:dyDescent="0.3">
      <c r="I59" s="660" t="s">
        <v>547</v>
      </c>
      <c r="J59" s="661">
        <f>SUM(J49:J58)</f>
        <v>1.1100000000000001</v>
      </c>
    </row>
    <row r="60" spans="1:14" x14ac:dyDescent="0.3">
      <c r="H60" s="326"/>
      <c r="I60" s="325"/>
    </row>
    <row r="61" spans="1:14" s="178" customFormat="1" x14ac:dyDescent="0.3">
      <c r="A61" s="659" t="s">
        <v>544</v>
      </c>
      <c r="B61" s="659" t="s">
        <v>6</v>
      </c>
      <c r="C61" s="659" t="s">
        <v>549</v>
      </c>
      <c r="D61" s="659" t="s">
        <v>550</v>
      </c>
      <c r="E61" s="659" t="s">
        <v>551</v>
      </c>
      <c r="F61" s="659" t="s">
        <v>28</v>
      </c>
      <c r="G61" s="659" t="s">
        <v>691</v>
      </c>
      <c r="H61" s="659" t="s">
        <v>736</v>
      </c>
      <c r="I61" s="659" t="s">
        <v>547</v>
      </c>
    </row>
    <row r="62" spans="1:14" x14ac:dyDescent="0.3">
      <c r="A62" s="168">
        <v>10</v>
      </c>
      <c r="B62" s="168" t="s">
        <v>650</v>
      </c>
      <c r="C62" s="168" t="s">
        <v>2059</v>
      </c>
      <c r="D62" s="323">
        <v>500</v>
      </c>
      <c r="E62" s="168"/>
      <c r="F62" s="168">
        <v>4</v>
      </c>
      <c r="G62" s="168">
        <v>3000</v>
      </c>
      <c r="H62" s="168">
        <v>1</v>
      </c>
      <c r="I62" s="322">
        <f>D62*F62/G62*H62</f>
        <v>0.66666666666666663</v>
      </c>
    </row>
    <row r="63" spans="1:14" x14ac:dyDescent="0.3">
      <c r="A63" s="178"/>
      <c r="B63" s="178"/>
      <c r="C63" s="178"/>
      <c r="D63" s="178"/>
      <c r="E63" s="178"/>
      <c r="F63" s="178"/>
      <c r="G63" s="178"/>
      <c r="H63" s="660" t="s">
        <v>547</v>
      </c>
      <c r="I63" s="661">
        <f>SUM(I62:I62)</f>
        <v>0.66666666666666663</v>
      </c>
      <c r="J63" s="178"/>
      <c r="K63" s="178"/>
      <c r="L63" s="178"/>
      <c r="M63" s="178"/>
      <c r="N63" s="178"/>
    </row>
  </sheetData>
  <pageMargins left="0.5" right="0.5" top="0.75" bottom="0.75" header="0.3" footer="0.3"/>
  <pageSetup paperSize="9" scale="53" orientation="landscape" r:id="rId1"/>
</worksheet>
</file>

<file path=xl/worksheets/sheet2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1.33203125" style="161" customWidth="1"/>
    <col min="3" max="3" width="23.3320312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6.66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21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N11+I16</f>
        <v>1.7206528000000001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1</v>
      </c>
    </row>
    <row r="3" spans="1:14" x14ac:dyDescent="0.3">
      <c r="A3" s="666" t="s">
        <v>534</v>
      </c>
      <c r="B3" s="161" t="s">
        <v>2014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2016</v>
      </c>
      <c r="D4" s="666" t="s">
        <v>541</v>
      </c>
      <c r="J4" s="666" t="s">
        <v>538</v>
      </c>
      <c r="M4" s="666" t="s">
        <v>539</v>
      </c>
      <c r="N4" s="336">
        <f>N1*N2</f>
        <v>1.7206528000000001</v>
      </c>
    </row>
    <row r="5" spans="1:14" x14ac:dyDescent="0.3">
      <c r="A5" s="666" t="s">
        <v>537</v>
      </c>
      <c r="B5" s="199" t="s">
        <v>288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68">
        <v>10</v>
      </c>
      <c r="B10" s="190" t="s">
        <v>606</v>
      </c>
      <c r="C10" s="168" t="s">
        <v>976</v>
      </c>
      <c r="D10" s="323">
        <v>2.25</v>
      </c>
      <c r="E10" s="168">
        <v>32</v>
      </c>
      <c r="F10" s="168" t="s">
        <v>573</v>
      </c>
      <c r="G10" s="168">
        <v>27</v>
      </c>
      <c r="H10" s="219" t="s">
        <v>573</v>
      </c>
      <c r="I10" s="269" t="s">
        <v>2060</v>
      </c>
      <c r="J10" s="228">
        <f>E10*G10/1000000</f>
        <v>8.6399999999999997E-4</v>
      </c>
      <c r="K10" s="228">
        <v>4.0000000000000001E-3</v>
      </c>
      <c r="L10" s="219">
        <v>7800</v>
      </c>
      <c r="M10" s="339">
        <v>1</v>
      </c>
      <c r="N10" s="322">
        <f>IF(J10="",D10*M10,D10*J10*K10*L10*M10)</f>
        <v>6.06528E-2</v>
      </c>
    </row>
    <row r="11" spans="1:14" s="178" customFormat="1" x14ac:dyDescent="0.3">
      <c r="M11" s="669" t="s">
        <v>547</v>
      </c>
      <c r="N11" s="670">
        <f>SUM(N10:N10)</f>
        <v>6.06528E-2</v>
      </c>
    </row>
    <row r="13" spans="1:14" s="178" customFormat="1" x14ac:dyDescent="0.3">
      <c r="A13" s="668" t="s">
        <v>544</v>
      </c>
      <c r="B13" s="668" t="s">
        <v>548</v>
      </c>
      <c r="C13" s="668" t="s">
        <v>549</v>
      </c>
      <c r="D13" s="668" t="s">
        <v>550</v>
      </c>
      <c r="E13" s="668" t="s">
        <v>551</v>
      </c>
      <c r="F13" s="668" t="s">
        <v>28</v>
      </c>
      <c r="G13" s="668" t="s">
        <v>552</v>
      </c>
      <c r="H13" s="668" t="s">
        <v>553</v>
      </c>
      <c r="I13" s="668" t="s">
        <v>547</v>
      </c>
    </row>
    <row r="14" spans="1:14" ht="28.8" x14ac:dyDescent="0.3">
      <c r="A14" s="168">
        <v>10</v>
      </c>
      <c r="B14" s="180" t="s">
        <v>589</v>
      </c>
      <c r="C14" s="168" t="s">
        <v>1035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D14*F14</f>
        <v>1.3</v>
      </c>
    </row>
    <row r="15" spans="1:14" x14ac:dyDescent="0.3">
      <c r="A15" s="168">
        <v>20</v>
      </c>
      <c r="B15" s="171" t="s">
        <v>700</v>
      </c>
      <c r="C15" s="171" t="s">
        <v>2061</v>
      </c>
      <c r="D15" s="323">
        <v>0.01</v>
      </c>
      <c r="E15" s="168" t="s">
        <v>593</v>
      </c>
      <c r="F15" s="168">
        <v>12</v>
      </c>
      <c r="G15" s="168" t="s">
        <v>598</v>
      </c>
      <c r="H15" s="168">
        <v>3</v>
      </c>
      <c r="I15" s="323">
        <f>IF('EL 01001'!$H15&lt;&gt;"",'EL 01001'!$D15*'EL 01001'!$F15*'EL 01001'!$H15,'EL 01001'!$D15*'EL 01001'!$F15)</f>
        <v>0.36</v>
      </c>
    </row>
    <row r="16" spans="1:14" s="178" customFormat="1" x14ac:dyDescent="0.3">
      <c r="H16" s="669" t="s">
        <v>547</v>
      </c>
      <c r="I16" s="670">
        <f>SUM(I14:I15)</f>
        <v>1.6600000000000001</v>
      </c>
    </row>
  </sheetData>
  <pageMargins left="0.5" right="0.5" top="0.75" bottom="0.75" header="0.3" footer="0.3"/>
  <pageSetup paperSize="9" scale="62" orientation="landscape" r:id="rId1"/>
</worksheet>
</file>

<file path=xl/worksheets/sheet2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24"/>
  <sheetViews>
    <sheetView showGridLines="0" workbookViewId="0"/>
  </sheetViews>
  <sheetFormatPr defaultColWidth="9.109375" defaultRowHeight="14.4" x14ac:dyDescent="0.3"/>
  <cols>
    <col min="1" max="1" width="15.44140625" style="161" customWidth="1"/>
    <col min="2" max="2" width="20.6640625" style="161" customWidth="1"/>
    <col min="3" max="3" width="23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6.33203125" style="161" customWidth="1"/>
    <col min="8" max="8" width="16.5546875" style="161" customWidth="1"/>
    <col min="9" max="9" width="17.5546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N12+I19+I23</f>
        <v>12.934003333333335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1</v>
      </c>
    </row>
    <row r="3" spans="1:14" x14ac:dyDescent="0.3">
      <c r="A3" s="666" t="s">
        <v>534</v>
      </c>
      <c r="B3" s="161" t="s">
        <v>2014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2017</v>
      </c>
      <c r="D4" s="666" t="s">
        <v>541</v>
      </c>
      <c r="J4" s="666" t="s">
        <v>538</v>
      </c>
      <c r="M4" s="666" t="s">
        <v>539</v>
      </c>
      <c r="N4" s="336">
        <f>N1*N2</f>
        <v>12.934003333333335</v>
      </c>
    </row>
    <row r="5" spans="1:14" x14ac:dyDescent="0.3">
      <c r="A5" s="666" t="s">
        <v>537</v>
      </c>
      <c r="B5" s="199" t="s">
        <v>289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  <c r="B7" s="161" t="s">
        <v>2062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68">
        <v>10</v>
      </c>
      <c r="B10" s="190" t="s">
        <v>606</v>
      </c>
      <c r="C10" s="168" t="s">
        <v>1104</v>
      </c>
      <c r="D10" s="323">
        <v>2.25</v>
      </c>
      <c r="E10" s="168">
        <v>130</v>
      </c>
      <c r="F10" s="168" t="s">
        <v>573</v>
      </c>
      <c r="G10" s="168">
        <v>90</v>
      </c>
      <c r="H10" s="219" t="s">
        <v>573</v>
      </c>
      <c r="I10" s="269" t="s">
        <v>2063</v>
      </c>
      <c r="J10" s="228">
        <f>G10*E10/1000000</f>
        <v>1.17E-2</v>
      </c>
      <c r="K10" s="228">
        <v>2E-3</v>
      </c>
      <c r="L10" s="219">
        <v>7800</v>
      </c>
      <c r="M10" s="339">
        <v>1</v>
      </c>
      <c r="N10" s="322">
        <f>IF(J10="",D10*M10,D10*J10*K10*L10*M10)</f>
        <v>0.41067000000000004</v>
      </c>
    </row>
    <row r="11" spans="1:14" x14ac:dyDescent="0.3">
      <c r="A11" s="168">
        <v>20</v>
      </c>
      <c r="B11" s="168" t="s">
        <v>625</v>
      </c>
      <c r="C11" s="168" t="s">
        <v>1469</v>
      </c>
      <c r="D11" s="302">
        <v>10</v>
      </c>
      <c r="E11" s="168">
        <v>4.3999999999999997E-2</v>
      </c>
      <c r="F11" s="168" t="s">
        <v>627</v>
      </c>
      <c r="G11" s="168"/>
      <c r="H11" s="219"/>
      <c r="I11" s="269"/>
      <c r="J11" s="227"/>
      <c r="K11" s="597"/>
      <c r="L11" s="219"/>
      <c r="M11" s="171">
        <v>4.3999999999999997E-2</v>
      </c>
      <c r="N11" s="322">
        <f>D11*M11</f>
        <v>0.43999999999999995</v>
      </c>
    </row>
    <row r="12" spans="1:14" s="178" customFormat="1" x14ac:dyDescent="0.3">
      <c r="M12" s="669" t="s">
        <v>547</v>
      </c>
      <c r="N12" s="670">
        <f>SUM(N10:N11)</f>
        <v>0.85067000000000004</v>
      </c>
    </row>
    <row r="14" spans="1:14" s="178" customFormat="1" x14ac:dyDescent="0.3">
      <c r="A14" s="668" t="s">
        <v>544</v>
      </c>
      <c r="B14" s="668" t="s">
        <v>548</v>
      </c>
      <c r="C14" s="668" t="s">
        <v>549</v>
      </c>
      <c r="D14" s="668" t="s">
        <v>550</v>
      </c>
      <c r="E14" s="668" t="s">
        <v>551</v>
      </c>
      <c r="F14" s="668" t="s">
        <v>28</v>
      </c>
      <c r="G14" s="668" t="s">
        <v>552</v>
      </c>
      <c r="H14" s="668" t="s">
        <v>553</v>
      </c>
      <c r="I14" s="668" t="s">
        <v>547</v>
      </c>
    </row>
    <row r="15" spans="1:14" s="248" customFormat="1" ht="28.8" x14ac:dyDescent="0.3">
      <c r="A15" s="184">
        <v>10</v>
      </c>
      <c r="B15" s="180" t="s">
        <v>589</v>
      </c>
      <c r="C15" s="184" t="s">
        <v>1035</v>
      </c>
      <c r="D15" s="362">
        <v>1.3</v>
      </c>
      <c r="E15" s="184" t="s">
        <v>556</v>
      </c>
      <c r="F15" s="184">
        <v>1</v>
      </c>
      <c r="G15" s="184"/>
      <c r="H15" s="184"/>
      <c r="I15" s="362">
        <f>D15*F15</f>
        <v>1.3</v>
      </c>
    </row>
    <row r="16" spans="1:14" x14ac:dyDescent="0.3">
      <c r="A16" s="168">
        <v>20</v>
      </c>
      <c r="B16" s="171" t="s">
        <v>700</v>
      </c>
      <c r="C16" s="171" t="s">
        <v>1040</v>
      </c>
      <c r="D16" s="323">
        <v>0.01</v>
      </c>
      <c r="E16" s="168" t="s">
        <v>593</v>
      </c>
      <c r="F16" s="168">
        <v>240</v>
      </c>
      <c r="G16" s="184" t="s">
        <v>598</v>
      </c>
      <c r="H16" s="184">
        <v>3</v>
      </c>
      <c r="I16" s="323">
        <f>IF('EL 01002'!$H16&lt;&gt;"",'EL 01002'!$D16*'EL 01002'!$F16*'EL 01002'!$H16,'EL 01002'!$D16*'EL 01002'!$F16)</f>
        <v>7.1999999999999993</v>
      </c>
    </row>
    <row r="17" spans="1:9" x14ac:dyDescent="0.3">
      <c r="A17" s="168">
        <v>30</v>
      </c>
      <c r="B17" s="180" t="s">
        <v>650</v>
      </c>
      <c r="C17" s="171" t="s">
        <v>2064</v>
      </c>
      <c r="D17" s="323">
        <v>0.15</v>
      </c>
      <c r="E17" s="168" t="s">
        <v>593</v>
      </c>
      <c r="F17" s="168">
        <v>15</v>
      </c>
      <c r="G17" s="168"/>
      <c r="H17" s="168"/>
      <c r="I17" s="322">
        <f>IF('EL 01002'!$H17&lt;&gt;"",'EL 01002'!$D17*'EL 01002'!$F17*'EL 01002'!$H17,'EL 01002'!$D17*'EL 01002'!$F17)</f>
        <v>2.25</v>
      </c>
    </row>
    <row r="18" spans="1:9" x14ac:dyDescent="0.3">
      <c r="A18" s="168">
        <v>40</v>
      </c>
      <c r="B18" s="180" t="s">
        <v>762</v>
      </c>
      <c r="C18" s="168" t="s">
        <v>2065</v>
      </c>
      <c r="D18" s="243">
        <v>5.25</v>
      </c>
      <c r="E18" s="180" t="s">
        <v>627</v>
      </c>
      <c r="F18" s="168">
        <v>4.3999999999999997E-2</v>
      </c>
      <c r="G18" s="168"/>
      <c r="H18" s="168">
        <v>1</v>
      </c>
      <c r="I18" s="323">
        <f>D18*F18*H18</f>
        <v>0.23099999999999998</v>
      </c>
    </row>
    <row r="19" spans="1:9" s="178" customFormat="1" x14ac:dyDescent="0.3">
      <c r="H19" s="669" t="s">
        <v>547</v>
      </c>
      <c r="I19" s="670">
        <f>SUM(I15:I17)</f>
        <v>10.75</v>
      </c>
    </row>
    <row r="20" spans="1:9" x14ac:dyDescent="0.3">
      <c r="H20" s="326"/>
      <c r="I20" s="325"/>
    </row>
    <row r="21" spans="1:9" s="178" customFormat="1" x14ac:dyDescent="0.3">
      <c r="A21" s="668" t="s">
        <v>544</v>
      </c>
      <c r="B21" s="668" t="s">
        <v>6</v>
      </c>
      <c r="C21" s="668" t="s">
        <v>549</v>
      </c>
      <c r="D21" s="668" t="s">
        <v>550</v>
      </c>
      <c r="E21" s="668" t="s">
        <v>551</v>
      </c>
      <c r="F21" s="668" t="s">
        <v>28</v>
      </c>
      <c r="G21" s="668" t="s">
        <v>691</v>
      </c>
      <c r="H21" s="668" t="s">
        <v>692</v>
      </c>
      <c r="I21" s="668" t="s">
        <v>547</v>
      </c>
    </row>
    <row r="22" spans="1:9" x14ac:dyDescent="0.3">
      <c r="A22" s="168">
        <v>10</v>
      </c>
      <c r="B22" s="168" t="s">
        <v>764</v>
      </c>
      <c r="C22" s="168" t="s">
        <v>735</v>
      </c>
      <c r="D22" s="323">
        <v>500</v>
      </c>
      <c r="E22" s="168" t="s">
        <v>695</v>
      </c>
      <c r="F22" s="168">
        <v>8</v>
      </c>
      <c r="G22" s="168">
        <v>3000</v>
      </c>
      <c r="H22" s="168">
        <v>1</v>
      </c>
      <c r="I22" s="323">
        <f>IF('EL 01002'!$G22&lt;&gt;"",D22*F22/G22*H22,"")</f>
        <v>1.3333333333333333</v>
      </c>
    </row>
    <row r="23" spans="1:9" s="178" customFormat="1" x14ac:dyDescent="0.3">
      <c r="H23" s="669" t="s">
        <v>547</v>
      </c>
      <c r="I23" s="670">
        <f>SUM(I22:I22)</f>
        <v>1.3333333333333333</v>
      </c>
    </row>
    <row r="24" spans="1:9" x14ac:dyDescent="0.3">
      <c r="H24" s="326"/>
      <c r="I24" s="325"/>
    </row>
  </sheetData>
  <pageMargins left="0.5" right="0.5" top="0.75" bottom="0.75" header="0.3" footer="0.3"/>
  <pageSetup paperSize="9" scale="61" orientation="landscape" r:id="rId1"/>
</worksheet>
</file>

<file path=xl/worksheets/sheet2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22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8.332031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1.33203125" style="161" customWidth="1"/>
    <col min="8" max="8" width="13.88671875" style="161" bestFit="1" customWidth="1"/>
    <col min="9" max="9" width="17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N11+I16</f>
        <v>2.4530844000000003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1</v>
      </c>
    </row>
    <row r="3" spans="1:14" x14ac:dyDescent="0.3">
      <c r="A3" s="666" t="s">
        <v>534</v>
      </c>
      <c r="B3" s="161" t="s">
        <v>2014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2018</v>
      </c>
      <c r="D4" s="666" t="s">
        <v>541</v>
      </c>
      <c r="J4" s="666" t="s">
        <v>538</v>
      </c>
      <c r="M4" s="666" t="s">
        <v>539</v>
      </c>
      <c r="N4" s="336">
        <f>N1*N2</f>
        <v>2.4530844000000003</v>
      </c>
    </row>
    <row r="5" spans="1:14" x14ac:dyDescent="0.3">
      <c r="A5" s="666" t="s">
        <v>537</v>
      </c>
      <c r="B5" s="199" t="s">
        <v>290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68">
        <v>10</v>
      </c>
      <c r="B10" s="190" t="s">
        <v>720</v>
      </c>
      <c r="C10" s="168" t="s">
        <v>607</v>
      </c>
      <c r="D10" s="323">
        <v>4.2</v>
      </c>
      <c r="E10" s="168">
        <v>170</v>
      </c>
      <c r="F10" s="168" t="s">
        <v>573</v>
      </c>
      <c r="G10" s="168">
        <v>130</v>
      </c>
      <c r="H10" s="219" t="s">
        <v>573</v>
      </c>
      <c r="I10" s="269" t="s">
        <v>2066</v>
      </c>
      <c r="J10" s="228">
        <f>E10*G10/1000000</f>
        <v>2.2100000000000002E-2</v>
      </c>
      <c r="K10" s="228">
        <v>2E-3</v>
      </c>
      <c r="L10" s="219">
        <v>2710</v>
      </c>
      <c r="M10" s="339">
        <v>1</v>
      </c>
      <c r="N10" s="322">
        <f>IF(J10="",D10*M10,D10*J10*K10*L10*M10)</f>
        <v>0.5030844000000001</v>
      </c>
    </row>
    <row r="11" spans="1:14" s="178" customFormat="1" x14ac:dyDescent="0.3">
      <c r="M11" s="669" t="s">
        <v>547</v>
      </c>
      <c r="N11" s="670">
        <f>SUM(N10:N10)</f>
        <v>0.5030844000000001</v>
      </c>
    </row>
    <row r="13" spans="1:14" s="178" customFormat="1" x14ac:dyDescent="0.3">
      <c r="A13" s="668" t="s">
        <v>544</v>
      </c>
      <c r="B13" s="668" t="s">
        <v>548</v>
      </c>
      <c r="C13" s="668" t="s">
        <v>549</v>
      </c>
      <c r="D13" s="668" t="s">
        <v>550</v>
      </c>
      <c r="E13" s="668" t="s">
        <v>551</v>
      </c>
      <c r="F13" s="668" t="s">
        <v>28</v>
      </c>
      <c r="G13" s="668" t="s">
        <v>552</v>
      </c>
      <c r="H13" s="668" t="s">
        <v>553</v>
      </c>
      <c r="I13" s="668" t="s">
        <v>547</v>
      </c>
    </row>
    <row r="14" spans="1:14" s="248" customFormat="1" ht="28.8" x14ac:dyDescent="0.3">
      <c r="A14" s="184">
        <v>10</v>
      </c>
      <c r="B14" s="180" t="s">
        <v>589</v>
      </c>
      <c r="C14" s="184" t="s">
        <v>1035</v>
      </c>
      <c r="D14" s="362">
        <v>1.3</v>
      </c>
      <c r="E14" s="184" t="s">
        <v>556</v>
      </c>
      <c r="F14" s="184">
        <v>1</v>
      </c>
      <c r="G14" s="184"/>
      <c r="H14" s="184"/>
      <c r="I14" s="323">
        <f>D14*F14</f>
        <v>1.3</v>
      </c>
    </row>
    <row r="15" spans="1:14" x14ac:dyDescent="0.3">
      <c r="A15" s="168">
        <v>20</v>
      </c>
      <c r="B15" s="171" t="s">
        <v>700</v>
      </c>
      <c r="C15" s="171" t="s">
        <v>592</v>
      </c>
      <c r="D15" s="323">
        <v>0.01</v>
      </c>
      <c r="E15" s="168" t="s">
        <v>593</v>
      </c>
      <c r="F15" s="168">
        <v>65</v>
      </c>
      <c r="G15" s="168" t="s">
        <v>710</v>
      </c>
      <c r="H15" s="168">
        <v>1</v>
      </c>
      <c r="I15" s="323">
        <f>IF('EL 01003'!$H15&lt;&gt;"",'EL 01003'!$D15*'EL 01003'!$F15*'EL 01003'!$H15,'EL 01003'!$D15*'EL 01003'!$F15)</f>
        <v>0.65</v>
      </c>
    </row>
    <row r="16" spans="1:14" s="178" customFormat="1" x14ac:dyDescent="0.3">
      <c r="H16" s="669" t="s">
        <v>547</v>
      </c>
      <c r="I16" s="670">
        <f>SUM(I14:I15)</f>
        <v>1.9500000000000002</v>
      </c>
    </row>
    <row r="22" ht="13.95" customHeight="1" x14ac:dyDescent="0.3"/>
  </sheetData>
  <pageMargins left="0.5" right="0.5" top="0.75" bottom="0.75" header="0.3" footer="0.3"/>
  <pageSetup scale="60" orientation="landscape" r:id="rId1"/>
</worksheet>
</file>

<file path=xl/worksheets/sheet2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249977111117893"/>
    <pageSetUpPr fitToPage="1"/>
  </sheetPr>
  <dimension ref="A1:N56"/>
  <sheetViews>
    <sheetView showGridLines="0" workbookViewId="0"/>
  </sheetViews>
  <sheetFormatPr defaultColWidth="9.109375" defaultRowHeight="14.4" x14ac:dyDescent="0.3"/>
  <cols>
    <col min="1" max="1" width="10.5546875" style="161" bestFit="1" customWidth="1"/>
    <col min="2" max="2" width="33.88671875" style="161" customWidth="1"/>
    <col min="3" max="3" width="39.441406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6.109375" style="161" customWidth="1"/>
    <col min="9" max="9" width="12.109375" style="161" bestFit="1" customWidth="1"/>
    <col min="10" max="10" width="9.33203125" style="161" customWidth="1"/>
    <col min="11" max="11" width="8.6640625" style="161" customWidth="1"/>
    <col min="12" max="12" width="8.109375" style="16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4" x14ac:dyDescent="0.3">
      <c r="A1" s="658" t="s">
        <v>523</v>
      </c>
      <c r="B1" s="161" t="s">
        <v>524</v>
      </c>
      <c r="J1" s="658" t="s">
        <v>528</v>
      </c>
      <c r="K1" s="163">
        <v>81</v>
      </c>
      <c r="M1" s="658" t="s">
        <v>531</v>
      </c>
      <c r="N1" s="336">
        <f>E14+N28+I44+J52+I56</f>
        <v>143.22848837999999</v>
      </c>
    </row>
    <row r="2" spans="1:14" x14ac:dyDescent="0.3">
      <c r="A2" s="658" t="s">
        <v>532</v>
      </c>
      <c r="B2" s="161" t="s">
        <v>285</v>
      </c>
      <c r="M2" s="658" t="s">
        <v>533</v>
      </c>
      <c r="N2" s="165">
        <v>1</v>
      </c>
    </row>
    <row r="3" spans="1:14" x14ac:dyDescent="0.3">
      <c r="A3" s="658" t="s">
        <v>534</v>
      </c>
      <c r="B3" s="161" t="s">
        <v>292</v>
      </c>
      <c r="J3" s="658" t="s">
        <v>536</v>
      </c>
    </row>
    <row r="4" spans="1:14" x14ac:dyDescent="0.3">
      <c r="A4" s="658" t="s">
        <v>537</v>
      </c>
      <c r="B4" s="166" t="s">
        <v>291</v>
      </c>
      <c r="J4" s="658" t="s">
        <v>538</v>
      </c>
      <c r="M4" s="658" t="s">
        <v>539</v>
      </c>
      <c r="N4" s="336">
        <f>N1*N2</f>
        <v>143.22848837999999</v>
      </c>
    </row>
    <row r="5" spans="1:14" x14ac:dyDescent="0.3">
      <c r="A5" s="658" t="s">
        <v>540</v>
      </c>
      <c r="B5" s="161" t="s">
        <v>36</v>
      </c>
      <c r="J5" s="658" t="s">
        <v>541</v>
      </c>
    </row>
    <row r="6" spans="1:14" x14ac:dyDescent="0.3">
      <c r="A6" s="658" t="s">
        <v>542</v>
      </c>
      <c r="B6" s="161" t="s">
        <v>2067</v>
      </c>
    </row>
    <row r="8" spans="1:14" x14ac:dyDescent="0.3">
      <c r="A8" s="659" t="s">
        <v>544</v>
      </c>
      <c r="B8" s="659" t="s">
        <v>545</v>
      </c>
      <c r="C8" s="659" t="s">
        <v>546</v>
      </c>
      <c r="D8" s="659" t="s">
        <v>28</v>
      </c>
      <c r="E8" s="659" t="s">
        <v>547</v>
      </c>
    </row>
    <row r="9" spans="1:14" x14ac:dyDescent="0.3">
      <c r="A9" s="168">
        <v>10</v>
      </c>
      <c r="B9" s="168" t="s">
        <v>294</v>
      </c>
      <c r="C9" s="323">
        <f>'EL 02001'!N1</f>
        <v>4.7034532800000006</v>
      </c>
      <c r="D9" s="215">
        <v>1</v>
      </c>
      <c r="E9" s="322">
        <f>C9*D9</f>
        <v>4.7034532800000006</v>
      </c>
    </row>
    <row r="10" spans="1:14" x14ac:dyDescent="0.3">
      <c r="A10" s="168">
        <v>20</v>
      </c>
      <c r="B10" s="168" t="s">
        <v>296</v>
      </c>
      <c r="C10" s="323">
        <f>'EL 02002'!N1</f>
        <v>46.57</v>
      </c>
      <c r="D10" s="215">
        <v>1</v>
      </c>
      <c r="E10" s="322">
        <f>C10*D10</f>
        <v>46.57</v>
      </c>
    </row>
    <row r="11" spans="1:14" x14ac:dyDescent="0.3">
      <c r="A11" s="168">
        <v>30</v>
      </c>
      <c r="B11" s="168" t="s">
        <v>2068</v>
      </c>
      <c r="C11" s="323">
        <f>'EL 02003'!N1</f>
        <v>0.54273966666666673</v>
      </c>
      <c r="D11" s="215">
        <v>6</v>
      </c>
      <c r="E11" s="322">
        <f>C11*D11</f>
        <v>3.2564380000000002</v>
      </c>
    </row>
    <row r="12" spans="1:14" x14ac:dyDescent="0.3">
      <c r="A12" s="168">
        <v>40</v>
      </c>
      <c r="B12" s="168" t="s">
        <v>2069</v>
      </c>
      <c r="C12" s="323">
        <f>'EL 02004'!N1</f>
        <v>2.5860970999999999</v>
      </c>
      <c r="D12" s="215">
        <v>1</v>
      </c>
      <c r="E12" s="322">
        <f>C12*D12</f>
        <v>2.5860970999999999</v>
      </c>
    </row>
    <row r="13" spans="1:14" x14ac:dyDescent="0.3">
      <c r="A13" s="168">
        <v>50</v>
      </c>
      <c r="B13" s="168" t="s">
        <v>2120</v>
      </c>
      <c r="C13" s="323">
        <f>'EL 02005'!N1</f>
        <v>30.19</v>
      </c>
      <c r="D13" s="215">
        <v>1</v>
      </c>
      <c r="E13" s="322">
        <f>C13*D13</f>
        <v>30.19</v>
      </c>
    </row>
    <row r="14" spans="1:14" x14ac:dyDescent="0.3">
      <c r="D14" s="660" t="s">
        <v>547</v>
      </c>
      <c r="E14" s="661">
        <f>SUM(E9:E13)</f>
        <v>87.305988380000002</v>
      </c>
    </row>
    <row r="16" spans="1:14" x14ac:dyDescent="0.3">
      <c r="A16" s="659" t="s">
        <v>544</v>
      </c>
      <c r="B16" s="659" t="s">
        <v>581</v>
      </c>
      <c r="C16" s="659" t="s">
        <v>549</v>
      </c>
      <c r="D16" s="659" t="s">
        <v>550</v>
      </c>
      <c r="E16" s="659" t="s">
        <v>567</v>
      </c>
      <c r="F16" s="659" t="s">
        <v>568</v>
      </c>
      <c r="G16" s="659" t="s">
        <v>569</v>
      </c>
      <c r="H16" s="659" t="s">
        <v>570</v>
      </c>
      <c r="I16" s="659" t="s">
        <v>582</v>
      </c>
      <c r="J16" s="659" t="s">
        <v>583</v>
      </c>
      <c r="K16" s="659" t="s">
        <v>584</v>
      </c>
      <c r="L16" s="659" t="s">
        <v>585</v>
      </c>
      <c r="M16" s="659" t="s">
        <v>28</v>
      </c>
      <c r="N16" s="659" t="s">
        <v>547</v>
      </c>
    </row>
    <row r="17" spans="1:14" x14ac:dyDescent="0.3">
      <c r="A17" s="168">
        <v>10</v>
      </c>
      <c r="B17" s="225" t="s">
        <v>2070</v>
      </c>
      <c r="C17" s="168" t="s">
        <v>2071</v>
      </c>
      <c r="D17" s="323">
        <v>5</v>
      </c>
      <c r="E17" s="168"/>
      <c r="F17" s="168"/>
      <c r="G17" s="168"/>
      <c r="H17" s="219"/>
      <c r="I17" s="220"/>
      <c r="J17" s="221"/>
      <c r="K17" s="219"/>
      <c r="L17" s="219"/>
      <c r="M17" s="339">
        <v>1</v>
      </c>
      <c r="N17" s="322">
        <f>D17*M17</f>
        <v>5</v>
      </c>
    </row>
    <row r="18" spans="1:14" x14ac:dyDescent="0.3">
      <c r="A18" s="168">
        <v>20</v>
      </c>
      <c r="B18" s="225" t="s">
        <v>2070</v>
      </c>
      <c r="C18" s="168" t="s">
        <v>2072</v>
      </c>
      <c r="D18" s="323">
        <v>5</v>
      </c>
      <c r="E18" s="168"/>
      <c r="F18" s="168"/>
      <c r="G18" s="168"/>
      <c r="H18" s="219"/>
      <c r="I18" s="220"/>
      <c r="J18" s="221"/>
      <c r="K18" s="219"/>
      <c r="L18" s="219"/>
      <c r="M18" s="339">
        <v>1</v>
      </c>
      <c r="N18" s="322">
        <f t="shared" ref="N18:N25" si="0">D18*M18</f>
        <v>5</v>
      </c>
    </row>
    <row r="19" spans="1:14" x14ac:dyDescent="0.3">
      <c r="A19" s="168">
        <v>30</v>
      </c>
      <c r="B19" s="225" t="s">
        <v>2073</v>
      </c>
      <c r="C19" s="168" t="s">
        <v>2074</v>
      </c>
      <c r="D19" s="323">
        <v>8</v>
      </c>
      <c r="E19" s="168"/>
      <c r="F19" s="168"/>
      <c r="G19" s="168"/>
      <c r="H19" s="219"/>
      <c r="I19" s="331"/>
      <c r="J19" s="221"/>
      <c r="K19" s="219"/>
      <c r="L19" s="227"/>
      <c r="M19" s="339">
        <v>2</v>
      </c>
      <c r="N19" s="322">
        <f t="shared" si="0"/>
        <v>16</v>
      </c>
    </row>
    <row r="20" spans="1:14" x14ac:dyDescent="0.3">
      <c r="A20" s="168">
        <v>40</v>
      </c>
      <c r="B20" s="256" t="s">
        <v>1529</v>
      </c>
      <c r="C20" s="168" t="s">
        <v>2075</v>
      </c>
      <c r="D20" s="323">
        <v>3</v>
      </c>
      <c r="E20" s="168"/>
      <c r="F20" s="168"/>
      <c r="G20" s="168"/>
      <c r="H20" s="219"/>
      <c r="I20" s="331"/>
      <c r="J20" s="221"/>
      <c r="K20" s="219"/>
      <c r="L20" s="219"/>
      <c r="M20" s="339">
        <v>1</v>
      </c>
      <c r="N20" s="322">
        <f t="shared" si="0"/>
        <v>3</v>
      </c>
    </row>
    <row r="21" spans="1:14" x14ac:dyDescent="0.3">
      <c r="A21" s="168">
        <v>50</v>
      </c>
      <c r="B21" s="168" t="s">
        <v>2076</v>
      </c>
      <c r="C21" s="168" t="s">
        <v>2077</v>
      </c>
      <c r="D21" s="323">
        <v>0.5</v>
      </c>
      <c r="E21" s="168"/>
      <c r="F21" s="168"/>
      <c r="G21" s="168"/>
      <c r="H21" s="219"/>
      <c r="I21" s="331"/>
      <c r="J21" s="221"/>
      <c r="K21" s="219"/>
      <c r="L21" s="219"/>
      <c r="M21" s="339">
        <v>4</v>
      </c>
      <c r="N21" s="322">
        <f t="shared" si="0"/>
        <v>2</v>
      </c>
    </row>
    <row r="22" spans="1:14" x14ac:dyDescent="0.3">
      <c r="A22" s="168">
        <v>60</v>
      </c>
      <c r="B22" s="168" t="s">
        <v>2078</v>
      </c>
      <c r="C22" s="168" t="s">
        <v>2079</v>
      </c>
      <c r="D22" s="323">
        <v>1</v>
      </c>
      <c r="E22" s="168"/>
      <c r="F22" s="386"/>
      <c r="G22" s="168"/>
      <c r="H22" s="219"/>
      <c r="I22" s="331"/>
      <c r="J22" s="221"/>
      <c r="K22" s="219"/>
      <c r="L22" s="219"/>
      <c r="M22" s="339">
        <v>1</v>
      </c>
      <c r="N22" s="322">
        <f t="shared" si="0"/>
        <v>1</v>
      </c>
    </row>
    <row r="23" spans="1:14" x14ac:dyDescent="0.3">
      <c r="A23" s="168">
        <v>70</v>
      </c>
      <c r="B23" s="168" t="s">
        <v>2078</v>
      </c>
      <c r="C23" s="168" t="s">
        <v>2116</v>
      </c>
      <c r="D23" s="323">
        <v>1</v>
      </c>
      <c r="E23" s="168"/>
      <c r="F23" s="386"/>
      <c r="G23" s="168"/>
      <c r="H23" s="219"/>
      <c r="I23" s="331"/>
      <c r="J23" s="221"/>
      <c r="K23" s="219"/>
      <c r="L23" s="219"/>
      <c r="M23" s="339">
        <v>1</v>
      </c>
      <c r="N23" s="322">
        <f>D23*M23</f>
        <v>1</v>
      </c>
    </row>
    <row r="24" spans="1:14" x14ac:dyDescent="0.3">
      <c r="A24" s="168">
        <v>80</v>
      </c>
      <c r="B24" s="168" t="s">
        <v>1811</v>
      </c>
      <c r="C24" s="168" t="s">
        <v>2080</v>
      </c>
      <c r="D24" s="323">
        <v>1</v>
      </c>
      <c r="E24" s="168"/>
      <c r="F24" s="386"/>
      <c r="G24" s="168"/>
      <c r="H24" s="219"/>
      <c r="I24" s="331"/>
      <c r="J24" s="221"/>
      <c r="K24" s="219"/>
      <c r="L24" s="219"/>
      <c r="M24" s="339">
        <v>1</v>
      </c>
      <c r="N24" s="322">
        <f t="shared" si="0"/>
        <v>1</v>
      </c>
    </row>
    <row r="25" spans="1:14" x14ac:dyDescent="0.3">
      <c r="A25" s="168">
        <v>90</v>
      </c>
      <c r="B25" s="168" t="s">
        <v>1811</v>
      </c>
      <c r="C25" s="168" t="s">
        <v>2081</v>
      </c>
      <c r="D25" s="323">
        <v>1</v>
      </c>
      <c r="E25" s="168"/>
      <c r="F25" s="168"/>
      <c r="G25" s="168"/>
      <c r="H25" s="219"/>
      <c r="I25" s="331"/>
      <c r="J25" s="221"/>
      <c r="K25" s="219"/>
      <c r="L25" s="219"/>
      <c r="M25" s="339">
        <v>1</v>
      </c>
      <c r="N25" s="322">
        <f t="shared" si="0"/>
        <v>1</v>
      </c>
    </row>
    <row r="26" spans="1:14" x14ac:dyDescent="0.3">
      <c r="A26" s="168">
        <v>100</v>
      </c>
      <c r="B26" s="168" t="s">
        <v>1811</v>
      </c>
      <c r="C26" s="168" t="s">
        <v>2115</v>
      </c>
      <c r="D26" s="323">
        <v>1</v>
      </c>
      <c r="E26" s="168"/>
      <c r="F26" s="168"/>
      <c r="G26" s="168"/>
      <c r="H26" s="219"/>
      <c r="I26" s="331"/>
      <c r="J26" s="221"/>
      <c r="K26" s="219"/>
      <c r="L26" s="219"/>
      <c r="M26" s="339">
        <v>1</v>
      </c>
      <c r="N26" s="322">
        <f>D26*M26</f>
        <v>1</v>
      </c>
    </row>
    <row r="27" spans="1:14" x14ac:dyDescent="0.3">
      <c r="A27" s="168">
        <v>110</v>
      </c>
      <c r="B27" s="168" t="s">
        <v>625</v>
      </c>
      <c r="C27" s="168" t="s">
        <v>2082</v>
      </c>
      <c r="D27" s="302">
        <v>10</v>
      </c>
      <c r="E27" s="168">
        <v>0.01</v>
      </c>
      <c r="F27" s="168" t="s">
        <v>627</v>
      </c>
      <c r="G27" s="168"/>
      <c r="H27" s="219"/>
      <c r="I27" s="269"/>
      <c r="J27" s="227"/>
      <c r="K27" s="597"/>
      <c r="L27" s="219"/>
      <c r="M27" s="168">
        <v>0.01</v>
      </c>
      <c r="N27" s="671">
        <f>D27*E27</f>
        <v>0.1</v>
      </c>
    </row>
    <row r="28" spans="1:14" s="178" customFormat="1" x14ac:dyDescent="0.3">
      <c r="M28" s="660" t="s">
        <v>547</v>
      </c>
      <c r="N28" s="661">
        <f>SUM(N17:N27)</f>
        <v>36.1</v>
      </c>
    </row>
    <row r="30" spans="1:14" s="178" customFormat="1" x14ac:dyDescent="0.3">
      <c r="A30" s="659" t="s">
        <v>544</v>
      </c>
      <c r="B30" s="659" t="s">
        <v>548</v>
      </c>
      <c r="C30" s="659" t="s">
        <v>549</v>
      </c>
      <c r="D30" s="659" t="s">
        <v>550</v>
      </c>
      <c r="E30" s="659" t="s">
        <v>551</v>
      </c>
      <c r="F30" s="659" t="s">
        <v>28</v>
      </c>
      <c r="G30" s="659" t="s">
        <v>552</v>
      </c>
      <c r="H30" s="659" t="s">
        <v>553</v>
      </c>
      <c r="I30" s="659" t="s">
        <v>547</v>
      </c>
    </row>
    <row r="31" spans="1:14" x14ac:dyDescent="0.3">
      <c r="A31" s="168">
        <v>10</v>
      </c>
      <c r="B31" s="180" t="s">
        <v>650</v>
      </c>
      <c r="C31" s="168" t="s">
        <v>2083</v>
      </c>
      <c r="D31" s="323">
        <v>0.15</v>
      </c>
      <c r="E31" s="168" t="s">
        <v>593</v>
      </c>
      <c r="F31" s="168">
        <v>12</v>
      </c>
      <c r="G31" s="168"/>
      <c r="H31" s="168">
        <v>1</v>
      </c>
      <c r="I31" s="323">
        <f t="shared" ref="I31:I42" si="1">D31*F31*H31</f>
        <v>1.7999999999999998</v>
      </c>
    </row>
    <row r="32" spans="1:14" x14ac:dyDescent="0.3">
      <c r="A32" s="168">
        <v>20</v>
      </c>
      <c r="B32" s="180" t="s">
        <v>762</v>
      </c>
      <c r="C32" s="168" t="s">
        <v>1909</v>
      </c>
      <c r="D32" s="243">
        <v>5.25</v>
      </c>
      <c r="E32" s="180" t="s">
        <v>627</v>
      </c>
      <c r="F32" s="168">
        <f>E27</f>
        <v>0.01</v>
      </c>
      <c r="G32" s="168"/>
      <c r="H32" s="168">
        <v>1</v>
      </c>
      <c r="I32" s="323">
        <f t="shared" si="1"/>
        <v>5.2499999999999998E-2</v>
      </c>
    </row>
    <row r="33" spans="1:10" x14ac:dyDescent="0.3">
      <c r="A33" s="168">
        <v>30</v>
      </c>
      <c r="B33" s="180" t="s">
        <v>557</v>
      </c>
      <c r="C33" s="168" t="s">
        <v>2084</v>
      </c>
      <c r="D33" s="323">
        <v>0.06</v>
      </c>
      <c r="E33" s="168" t="s">
        <v>556</v>
      </c>
      <c r="F33" s="168">
        <v>1</v>
      </c>
      <c r="G33" s="168"/>
      <c r="H33" s="168">
        <v>1</v>
      </c>
      <c r="I33" s="323">
        <f t="shared" si="1"/>
        <v>0.06</v>
      </c>
    </row>
    <row r="34" spans="1:10" x14ac:dyDescent="0.3">
      <c r="A34" s="168">
        <v>40</v>
      </c>
      <c r="B34" s="180" t="s">
        <v>659</v>
      </c>
      <c r="C34" s="171" t="s">
        <v>2085</v>
      </c>
      <c r="D34" s="243">
        <v>0.5</v>
      </c>
      <c r="E34" s="180" t="s">
        <v>556</v>
      </c>
      <c r="F34" s="161">
        <v>6</v>
      </c>
      <c r="G34" s="672"/>
      <c r="H34" s="168">
        <v>1</v>
      </c>
      <c r="I34" s="323">
        <f t="shared" si="1"/>
        <v>3</v>
      </c>
    </row>
    <row r="35" spans="1:10" x14ac:dyDescent="0.3">
      <c r="A35" s="168">
        <v>50</v>
      </c>
      <c r="B35" s="180" t="s">
        <v>660</v>
      </c>
      <c r="C35" s="168" t="s">
        <v>2086</v>
      </c>
      <c r="D35" s="243">
        <v>0.25</v>
      </c>
      <c r="E35" s="180" t="s">
        <v>556</v>
      </c>
      <c r="F35" s="168">
        <v>6</v>
      </c>
      <c r="G35" s="168"/>
      <c r="H35" s="168">
        <v>1</v>
      </c>
      <c r="I35" s="323">
        <f t="shared" si="1"/>
        <v>1.5</v>
      </c>
    </row>
    <row r="36" spans="1:10" x14ac:dyDescent="0.3">
      <c r="A36" s="168">
        <v>60</v>
      </c>
      <c r="B36" s="285" t="s">
        <v>2087</v>
      </c>
      <c r="C36" s="171" t="s">
        <v>2088</v>
      </c>
      <c r="D36" s="323">
        <v>0.13</v>
      </c>
      <c r="E36" s="168" t="s">
        <v>556</v>
      </c>
      <c r="F36" s="168">
        <v>9</v>
      </c>
      <c r="G36" s="168"/>
      <c r="H36" s="168">
        <v>1</v>
      </c>
      <c r="I36" s="323">
        <f t="shared" si="1"/>
        <v>1.17</v>
      </c>
    </row>
    <row r="37" spans="1:10" x14ac:dyDescent="0.3">
      <c r="A37" s="168">
        <v>80</v>
      </c>
      <c r="B37" s="180" t="s">
        <v>659</v>
      </c>
      <c r="C37" s="171" t="s">
        <v>2089</v>
      </c>
      <c r="D37" s="243">
        <v>0.5</v>
      </c>
      <c r="E37" s="180" t="s">
        <v>556</v>
      </c>
      <c r="F37" s="168">
        <v>4</v>
      </c>
      <c r="G37" s="168"/>
      <c r="H37" s="168">
        <v>1</v>
      </c>
      <c r="I37" s="323">
        <f t="shared" si="1"/>
        <v>2</v>
      </c>
    </row>
    <row r="38" spans="1:10" x14ac:dyDescent="0.3">
      <c r="A38" s="168">
        <v>90</v>
      </c>
      <c r="B38" s="180" t="s">
        <v>559</v>
      </c>
      <c r="C38" s="171" t="s">
        <v>2090</v>
      </c>
      <c r="D38" s="323">
        <v>0.75</v>
      </c>
      <c r="E38" s="180" t="s">
        <v>556</v>
      </c>
      <c r="F38" s="168">
        <v>5</v>
      </c>
      <c r="G38" s="168"/>
      <c r="H38" s="168">
        <v>1</v>
      </c>
      <c r="I38" s="323">
        <f t="shared" si="1"/>
        <v>3.75</v>
      </c>
    </row>
    <row r="39" spans="1:10" x14ac:dyDescent="0.3">
      <c r="A39" s="168">
        <v>100</v>
      </c>
      <c r="B39" s="285" t="s">
        <v>2087</v>
      </c>
      <c r="C39" s="171" t="s">
        <v>2091</v>
      </c>
      <c r="D39" s="323">
        <v>0.13</v>
      </c>
      <c r="E39" s="168" t="s">
        <v>556</v>
      </c>
      <c r="F39" s="168">
        <v>2</v>
      </c>
      <c r="G39" s="168"/>
      <c r="H39" s="168">
        <v>1</v>
      </c>
      <c r="I39" s="323">
        <f t="shared" si="1"/>
        <v>0.26</v>
      </c>
    </row>
    <row r="40" spans="1:10" x14ac:dyDescent="0.3">
      <c r="A40" s="168">
        <v>120</v>
      </c>
      <c r="B40" s="180" t="s">
        <v>672</v>
      </c>
      <c r="C40" s="171" t="s">
        <v>2092</v>
      </c>
      <c r="D40" s="243">
        <v>0.5</v>
      </c>
      <c r="E40" s="180" t="s">
        <v>556</v>
      </c>
      <c r="F40" s="168">
        <v>4</v>
      </c>
      <c r="G40" s="168"/>
      <c r="H40" s="168">
        <v>1</v>
      </c>
      <c r="I40" s="323">
        <f t="shared" si="1"/>
        <v>2</v>
      </c>
    </row>
    <row r="41" spans="1:10" x14ac:dyDescent="0.3">
      <c r="A41" s="168">
        <v>130</v>
      </c>
      <c r="B41" s="285" t="s">
        <v>2087</v>
      </c>
      <c r="C41" s="171" t="s">
        <v>2093</v>
      </c>
      <c r="D41" s="323">
        <v>0.13</v>
      </c>
      <c r="E41" s="168" t="s">
        <v>556</v>
      </c>
      <c r="F41" s="168">
        <v>9</v>
      </c>
      <c r="G41" s="168"/>
      <c r="H41" s="168">
        <v>1</v>
      </c>
      <c r="I41" s="323">
        <f t="shared" si="1"/>
        <v>1.17</v>
      </c>
    </row>
    <row r="42" spans="1:10" x14ac:dyDescent="0.3">
      <c r="A42" s="168">
        <v>140</v>
      </c>
      <c r="B42" s="180" t="s">
        <v>656</v>
      </c>
      <c r="C42" s="171" t="s">
        <v>2094</v>
      </c>
      <c r="D42" s="243">
        <v>0.25</v>
      </c>
      <c r="E42" s="180" t="s">
        <v>556</v>
      </c>
      <c r="F42" s="168">
        <v>2</v>
      </c>
      <c r="G42" s="168"/>
      <c r="H42" s="168">
        <v>1</v>
      </c>
      <c r="I42" s="323">
        <f t="shared" si="1"/>
        <v>0.5</v>
      </c>
    </row>
    <row r="43" spans="1:10" x14ac:dyDescent="0.3">
      <c r="A43" s="168">
        <v>150</v>
      </c>
      <c r="B43" s="180" t="s">
        <v>682</v>
      </c>
      <c r="C43" s="168" t="s">
        <v>2121</v>
      </c>
      <c r="D43" s="243">
        <v>0.09</v>
      </c>
      <c r="E43" s="180" t="s">
        <v>556</v>
      </c>
      <c r="F43" s="168">
        <v>2</v>
      </c>
      <c r="G43" s="168"/>
      <c r="H43" s="168">
        <v>1</v>
      </c>
      <c r="I43" s="323">
        <f>D43*F43*H43</f>
        <v>0.18</v>
      </c>
    </row>
    <row r="44" spans="1:10" s="178" customFormat="1" x14ac:dyDescent="0.3">
      <c r="H44" s="673" t="s">
        <v>547</v>
      </c>
      <c r="I44" s="674">
        <f>SUM(I31:I43)</f>
        <v>17.442499999999999</v>
      </c>
    </row>
    <row r="46" spans="1:10" s="178" customFormat="1" x14ac:dyDescent="0.3">
      <c r="A46" s="659" t="s">
        <v>544</v>
      </c>
      <c r="B46" s="659" t="s">
        <v>566</v>
      </c>
      <c r="C46" s="659" t="s">
        <v>549</v>
      </c>
      <c r="D46" s="659" t="s">
        <v>550</v>
      </c>
      <c r="E46" s="659" t="s">
        <v>567</v>
      </c>
      <c r="F46" s="659" t="s">
        <v>568</v>
      </c>
      <c r="G46" s="659" t="s">
        <v>569</v>
      </c>
      <c r="H46" s="659" t="s">
        <v>570</v>
      </c>
      <c r="I46" s="659" t="s">
        <v>28</v>
      </c>
      <c r="J46" s="659" t="s">
        <v>547</v>
      </c>
    </row>
    <row r="47" spans="1:10" x14ac:dyDescent="0.3">
      <c r="A47" s="168">
        <v>10</v>
      </c>
      <c r="B47" s="168" t="s">
        <v>684</v>
      </c>
      <c r="C47" s="168" t="s">
        <v>2095</v>
      </c>
      <c r="D47" s="323">
        <v>0.01</v>
      </c>
      <c r="E47" s="168">
        <v>4</v>
      </c>
      <c r="F47" s="245" t="s">
        <v>573</v>
      </c>
      <c r="G47" s="168">
        <v>10</v>
      </c>
      <c r="H47" s="171" t="s">
        <v>573</v>
      </c>
      <c r="I47" s="327">
        <v>6</v>
      </c>
      <c r="J47" s="323">
        <f>D47*I47</f>
        <v>0.06</v>
      </c>
    </row>
    <row r="48" spans="1:10" x14ac:dyDescent="0.3">
      <c r="A48" s="168">
        <v>20</v>
      </c>
      <c r="B48" s="675" t="s">
        <v>618</v>
      </c>
      <c r="C48" s="168" t="s">
        <v>2095</v>
      </c>
      <c r="D48" s="243">
        <v>0.02</v>
      </c>
      <c r="E48" s="168">
        <v>4</v>
      </c>
      <c r="F48" s="245" t="s">
        <v>573</v>
      </c>
      <c r="G48" s="168"/>
      <c r="H48" s="171"/>
      <c r="I48" s="327">
        <v>6</v>
      </c>
      <c r="J48" s="323">
        <f>D48*I48</f>
        <v>0.12</v>
      </c>
    </row>
    <row r="49" spans="1:10" x14ac:dyDescent="0.3">
      <c r="A49" s="168">
        <v>30</v>
      </c>
      <c r="B49" s="675" t="s">
        <v>574</v>
      </c>
      <c r="C49" s="168" t="s">
        <v>2095</v>
      </c>
      <c r="D49" s="243">
        <v>0.01</v>
      </c>
      <c r="E49" s="168">
        <v>4</v>
      </c>
      <c r="F49" s="245" t="s">
        <v>573</v>
      </c>
      <c r="G49" s="168"/>
      <c r="H49" s="171"/>
      <c r="I49" s="327">
        <v>6</v>
      </c>
      <c r="J49" s="323">
        <f>D49*I49</f>
        <v>0.06</v>
      </c>
    </row>
    <row r="50" spans="1:10" x14ac:dyDescent="0.3">
      <c r="A50" s="168">
        <v>40</v>
      </c>
      <c r="B50" s="225" t="s">
        <v>854</v>
      </c>
      <c r="C50" s="168" t="s">
        <v>2096</v>
      </c>
      <c r="D50" s="665">
        <v>0.03</v>
      </c>
      <c r="E50" s="168"/>
      <c r="F50" s="245"/>
      <c r="G50" s="168"/>
      <c r="H50" s="171"/>
      <c r="I50" s="327">
        <v>2</v>
      </c>
      <c r="J50" s="323">
        <f>D50*I50</f>
        <v>0.06</v>
      </c>
    </row>
    <row r="51" spans="1:10" x14ac:dyDescent="0.3">
      <c r="A51" s="168">
        <v>50</v>
      </c>
      <c r="B51" s="225" t="s">
        <v>689</v>
      </c>
      <c r="C51" s="168" t="s">
        <v>2121</v>
      </c>
      <c r="D51" s="665">
        <v>0.04</v>
      </c>
      <c r="E51" s="168"/>
      <c r="F51" s="245"/>
      <c r="G51" s="168"/>
      <c r="H51" s="171"/>
      <c r="I51" s="327">
        <v>2</v>
      </c>
      <c r="J51" s="323">
        <f>D51*I51</f>
        <v>0.08</v>
      </c>
    </row>
    <row r="52" spans="1:10" s="178" customFormat="1" x14ac:dyDescent="0.3">
      <c r="I52" s="673" t="s">
        <v>547</v>
      </c>
      <c r="J52" s="674">
        <f>SUM(J47:J51)</f>
        <v>0.38</v>
      </c>
    </row>
    <row r="53" spans="1:10" x14ac:dyDescent="0.3">
      <c r="H53" s="326"/>
      <c r="I53" s="325"/>
    </row>
    <row r="54" spans="1:10" s="178" customFormat="1" x14ac:dyDescent="0.3">
      <c r="A54" s="659" t="s">
        <v>544</v>
      </c>
      <c r="B54" s="659" t="s">
        <v>6</v>
      </c>
      <c r="C54" s="659" t="s">
        <v>549</v>
      </c>
      <c r="D54" s="659" t="s">
        <v>550</v>
      </c>
      <c r="E54" s="659" t="s">
        <v>551</v>
      </c>
      <c r="F54" s="659" t="s">
        <v>28</v>
      </c>
      <c r="G54" s="659" t="s">
        <v>691</v>
      </c>
      <c r="H54" s="659" t="s">
        <v>736</v>
      </c>
      <c r="I54" s="659" t="s">
        <v>547</v>
      </c>
    </row>
    <row r="55" spans="1:10" x14ac:dyDescent="0.3">
      <c r="A55" s="168">
        <v>10</v>
      </c>
      <c r="B55" s="272" t="s">
        <v>693</v>
      </c>
      <c r="C55" s="168" t="s">
        <v>2097</v>
      </c>
      <c r="D55" s="323">
        <v>500</v>
      </c>
      <c r="E55" s="168" t="s">
        <v>695</v>
      </c>
      <c r="F55" s="168">
        <v>12</v>
      </c>
      <c r="G55" s="168">
        <v>3000</v>
      </c>
      <c r="H55" s="168">
        <v>1</v>
      </c>
      <c r="I55" s="322">
        <f>D55*F55/G55*H55</f>
        <v>2</v>
      </c>
    </row>
    <row r="56" spans="1:10" s="178" customFormat="1" x14ac:dyDescent="0.3">
      <c r="H56" s="660" t="s">
        <v>547</v>
      </c>
      <c r="I56" s="674">
        <f>SUM(I55:I55)</f>
        <v>2</v>
      </c>
    </row>
  </sheetData>
  <pageMargins left="0.5" right="0.5" top="0.75" bottom="0.75" header="0.3" footer="0.3"/>
  <pageSetup paperSize="9" scale="59" orientation="landscape" r:id="rId1"/>
  <drawing r:id="rId2"/>
</worksheet>
</file>

<file path=xl/worksheets/sheet2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2.6640625" style="161" customWidth="1"/>
    <col min="3" max="3" width="40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0.44140625" style="161" customWidth="1"/>
    <col min="9" max="9" width="19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N11+I17</f>
        <v>4.7034532800000006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1</v>
      </c>
    </row>
    <row r="3" spans="1:14" x14ac:dyDescent="0.3">
      <c r="A3" s="666" t="s">
        <v>534</v>
      </c>
      <c r="B3" s="161" t="s">
        <v>292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294</v>
      </c>
      <c r="D4" s="666" t="s">
        <v>541</v>
      </c>
      <c r="J4" s="666" t="s">
        <v>538</v>
      </c>
      <c r="M4" s="666" t="s">
        <v>539</v>
      </c>
      <c r="N4" s="336">
        <f>N1*N2</f>
        <v>4.7034532800000006</v>
      </c>
    </row>
    <row r="5" spans="1:14" x14ac:dyDescent="0.3">
      <c r="A5" s="666" t="s">
        <v>537</v>
      </c>
      <c r="B5" s="199" t="s">
        <v>293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  <c r="B7" s="161" t="s">
        <v>2098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68">
        <v>10</v>
      </c>
      <c r="B10" s="676" t="s">
        <v>2099</v>
      </c>
      <c r="C10" s="168" t="s">
        <v>607</v>
      </c>
      <c r="D10" s="323">
        <v>4.2</v>
      </c>
      <c r="E10" s="168">
        <v>530</v>
      </c>
      <c r="F10" s="168" t="s">
        <v>573</v>
      </c>
      <c r="G10" s="168">
        <v>112</v>
      </c>
      <c r="H10" s="219" t="s">
        <v>573</v>
      </c>
      <c r="I10" s="269" t="s">
        <v>2100</v>
      </c>
      <c r="J10" s="228">
        <f>E10*G10/1000000</f>
        <v>5.9360000000000003E-2</v>
      </c>
      <c r="K10" s="228">
        <v>1.5E-3</v>
      </c>
      <c r="L10" s="219">
        <v>2710</v>
      </c>
      <c r="M10" s="339">
        <v>1</v>
      </c>
      <c r="N10" s="322">
        <f>IF(J10="",D10*M10,D10*J10*K10*L10*M10)</f>
        <v>1.0134532800000002</v>
      </c>
    </row>
    <row r="11" spans="1:14" s="178" customFormat="1" x14ac:dyDescent="0.3">
      <c r="M11" s="669" t="s">
        <v>547</v>
      </c>
      <c r="N11" s="670">
        <f>SUM(N10:N10)</f>
        <v>1.0134532800000002</v>
      </c>
    </row>
    <row r="13" spans="1:14" s="178" customFormat="1" x14ac:dyDescent="0.3">
      <c r="A13" s="668" t="s">
        <v>544</v>
      </c>
      <c r="B13" s="668" t="s">
        <v>548</v>
      </c>
      <c r="C13" s="668" t="s">
        <v>549</v>
      </c>
      <c r="D13" s="668" t="s">
        <v>550</v>
      </c>
      <c r="E13" s="668" t="s">
        <v>551</v>
      </c>
      <c r="F13" s="668" t="s">
        <v>28</v>
      </c>
      <c r="G13" s="668" t="s">
        <v>552</v>
      </c>
      <c r="H13" s="668" t="s">
        <v>553</v>
      </c>
      <c r="I13" s="668" t="s">
        <v>547</v>
      </c>
    </row>
    <row r="14" spans="1:14" ht="28.8" x14ac:dyDescent="0.3">
      <c r="A14" s="168">
        <v>10</v>
      </c>
      <c r="B14" s="180" t="s">
        <v>589</v>
      </c>
      <c r="C14" s="168" t="s">
        <v>699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D14*F14</f>
        <v>1.3</v>
      </c>
    </row>
    <row r="15" spans="1:14" ht="28.8" x14ac:dyDescent="0.3">
      <c r="A15" s="168">
        <v>20</v>
      </c>
      <c r="B15" s="171" t="s">
        <v>700</v>
      </c>
      <c r="C15" s="171" t="s">
        <v>592</v>
      </c>
      <c r="D15" s="323">
        <v>0.01</v>
      </c>
      <c r="E15" s="168" t="s">
        <v>593</v>
      </c>
      <c r="F15" s="168">
        <v>189</v>
      </c>
      <c r="G15" s="184" t="s">
        <v>710</v>
      </c>
      <c r="H15" s="168">
        <v>1</v>
      </c>
      <c r="I15" s="323">
        <f>IF('EL 02001'!$H15&lt;&gt;"",'EL 02001'!$D15*'EL 02001'!$F15*'EL 02001'!$H15,'EL 02001'!$D15*'EL 02001'!$F15)</f>
        <v>1.8900000000000001</v>
      </c>
    </row>
    <row r="16" spans="1:14" x14ac:dyDescent="0.3">
      <c r="A16" s="168">
        <v>30</v>
      </c>
      <c r="B16" s="180" t="s">
        <v>702</v>
      </c>
      <c r="C16" s="168" t="s">
        <v>711</v>
      </c>
      <c r="D16" s="323">
        <v>0.25</v>
      </c>
      <c r="E16" s="168" t="s">
        <v>704</v>
      </c>
      <c r="F16" s="168">
        <v>2</v>
      </c>
      <c r="G16" s="168"/>
      <c r="H16" s="168"/>
      <c r="I16" s="323">
        <f>IF('EL 02001'!$H16&lt;&gt;"",'EL 02001'!$D16*'EL 02001'!$F16*'EL 02001'!$H16,'EL 02001'!$D16*'EL 02001'!$F16)</f>
        <v>0.5</v>
      </c>
    </row>
    <row r="17" spans="8:9" s="178" customFormat="1" x14ac:dyDescent="0.3">
      <c r="H17" s="669" t="s">
        <v>547</v>
      </c>
      <c r="I17" s="670">
        <f>SUM(I14:I16)</f>
        <v>3.6900000000000004</v>
      </c>
    </row>
  </sheetData>
  <pageMargins left="0.5" right="0.5" top="0.75" bottom="0.75" header="0.3" footer="0.3"/>
  <pageSetup paperSize="9" scale="60" orientation="landscape" r:id="rId1"/>
</worksheet>
</file>

<file path=xl/worksheets/sheet2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8.33203125" style="161" customWidth="1"/>
    <col min="3" max="3" width="24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0.44140625" style="161" customWidth="1"/>
    <col min="9" max="9" width="19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N13+I17</f>
        <v>46.57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1</v>
      </c>
    </row>
    <row r="3" spans="1:14" x14ac:dyDescent="0.3">
      <c r="A3" s="666" t="s">
        <v>534</v>
      </c>
      <c r="B3" s="161" t="s">
        <v>292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2103</v>
      </c>
      <c r="D4" s="666" t="s">
        <v>541</v>
      </c>
      <c r="J4" s="666" t="s">
        <v>538</v>
      </c>
      <c r="M4" s="666" t="s">
        <v>539</v>
      </c>
      <c r="N4" s="336">
        <f>N1*N2</f>
        <v>46.57</v>
      </c>
    </row>
    <row r="5" spans="1:14" x14ac:dyDescent="0.3">
      <c r="A5" s="666" t="s">
        <v>537</v>
      </c>
      <c r="B5" s="199" t="s">
        <v>295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  <c r="B7" s="161" t="s">
        <v>2104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x14ac:dyDescent="0.3">
      <c r="A10" s="168">
        <v>10</v>
      </c>
      <c r="B10" s="678" t="s">
        <v>2105</v>
      </c>
      <c r="C10" s="168" t="s">
        <v>2106</v>
      </c>
      <c r="D10" s="323">
        <v>1</v>
      </c>
      <c r="E10" s="168" t="s">
        <v>556</v>
      </c>
      <c r="F10" s="168"/>
      <c r="G10" s="168"/>
      <c r="H10" s="219"/>
      <c r="I10" s="269"/>
      <c r="J10" s="228"/>
      <c r="K10" s="228"/>
      <c r="L10" s="219"/>
      <c r="M10" s="339">
        <v>1</v>
      </c>
      <c r="N10" s="322">
        <f>IF(J10="",D10*M10,D10*J10*K10*L10*M10)</f>
        <v>1</v>
      </c>
    </row>
    <row r="11" spans="1:14" ht="28.8" x14ac:dyDescent="0.3">
      <c r="A11" s="168">
        <v>20</v>
      </c>
      <c r="B11" s="225" t="s">
        <v>2107</v>
      </c>
      <c r="C11" s="168" t="s">
        <v>2108</v>
      </c>
      <c r="D11" s="323">
        <v>25</v>
      </c>
      <c r="E11" s="168" t="s">
        <v>556</v>
      </c>
      <c r="F11" s="168"/>
      <c r="G11" s="168"/>
      <c r="H11" s="219"/>
      <c r="I11" s="269"/>
      <c r="J11" s="228"/>
      <c r="K11" s="228"/>
      <c r="L11" s="219"/>
      <c r="M11" s="339">
        <v>1</v>
      </c>
      <c r="N11" s="322">
        <f>IF(J11="",D11*M11,D11*J11*K11*L11*M11)</f>
        <v>25</v>
      </c>
    </row>
    <row r="12" spans="1:14" ht="28.8" x14ac:dyDescent="0.3">
      <c r="A12" s="168">
        <v>30</v>
      </c>
      <c r="B12" s="225" t="s">
        <v>2109</v>
      </c>
      <c r="C12" s="168" t="s">
        <v>2110</v>
      </c>
      <c r="D12" s="323">
        <v>20</v>
      </c>
      <c r="E12" s="168" t="s">
        <v>556</v>
      </c>
      <c r="F12" s="168"/>
      <c r="G12" s="168"/>
      <c r="H12" s="219"/>
      <c r="I12" s="269"/>
      <c r="J12" s="228"/>
      <c r="K12" s="228"/>
      <c r="L12" s="219"/>
      <c r="M12" s="339">
        <v>1</v>
      </c>
      <c r="N12" s="322">
        <f>IF(J12="",D12*M12,D12*J12*K12*L12*M12)</f>
        <v>20</v>
      </c>
    </row>
    <row r="13" spans="1:14" s="178" customFormat="1" x14ac:dyDescent="0.3">
      <c r="M13" s="679" t="s">
        <v>547</v>
      </c>
      <c r="N13" s="670">
        <f>SUM(N10:N12)</f>
        <v>46</v>
      </c>
    </row>
    <row r="15" spans="1:14" s="178" customFormat="1" x14ac:dyDescent="0.3">
      <c r="A15" s="668" t="s">
        <v>544</v>
      </c>
      <c r="B15" s="668" t="s">
        <v>548</v>
      </c>
      <c r="C15" s="668" t="s">
        <v>549</v>
      </c>
      <c r="D15" s="668" t="s">
        <v>550</v>
      </c>
      <c r="E15" s="668" t="s">
        <v>551</v>
      </c>
      <c r="F15" s="668" t="s">
        <v>28</v>
      </c>
      <c r="G15" s="668" t="s">
        <v>552</v>
      </c>
      <c r="H15" s="668" t="s">
        <v>553</v>
      </c>
      <c r="I15" s="668" t="s">
        <v>547</v>
      </c>
    </row>
    <row r="16" spans="1:14" x14ac:dyDescent="0.3">
      <c r="A16" s="168">
        <v>10</v>
      </c>
      <c r="B16" s="171" t="s">
        <v>760</v>
      </c>
      <c r="C16" s="171" t="s">
        <v>2111</v>
      </c>
      <c r="D16" s="323">
        <v>0.19</v>
      </c>
      <c r="E16" s="168" t="s">
        <v>556</v>
      </c>
      <c r="F16" s="168">
        <v>3</v>
      </c>
      <c r="G16" s="168"/>
      <c r="H16" s="168"/>
      <c r="I16" s="323">
        <f>IF('EL 02002'!$H16&lt;&gt;"",'EL 02002'!$D16*'EL 02002'!$F16*'EL 02002'!$H16,'EL 02002'!$D16*'EL 02002'!$F16)</f>
        <v>0.57000000000000006</v>
      </c>
    </row>
    <row r="17" spans="8:9" s="178" customFormat="1" x14ac:dyDescent="0.3">
      <c r="H17" s="669" t="s">
        <v>547</v>
      </c>
      <c r="I17" s="670">
        <f>SUM(I16:I16)</f>
        <v>0.57000000000000006</v>
      </c>
    </row>
  </sheetData>
  <pageMargins left="0.5" right="0.5" top="0.75" bottom="0.75" header="0.3" footer="0.3"/>
  <pageSetup paperSize="9" scale="63" orientation="landscape" r:id="rId1"/>
</worksheet>
</file>

<file path=xl/worksheets/sheet2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5" style="161" customWidth="1"/>
    <col min="3" max="3" width="34.109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1.33203125" style="161" customWidth="1"/>
    <col min="8" max="8" width="10.44140625" style="161" customWidth="1"/>
    <col min="9" max="9" width="19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N11+I16</f>
        <v>0.54273966666666673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6</v>
      </c>
    </row>
    <row r="3" spans="1:14" x14ac:dyDescent="0.3">
      <c r="A3" s="666" t="s">
        <v>534</v>
      </c>
      <c r="B3" s="161" t="s">
        <v>292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2068</v>
      </c>
      <c r="D4" s="666" t="s">
        <v>541</v>
      </c>
      <c r="J4" s="666" t="s">
        <v>538</v>
      </c>
      <c r="M4" s="666" t="s">
        <v>539</v>
      </c>
      <c r="N4" s="336">
        <f>N1*N2</f>
        <v>3.2564380000000002</v>
      </c>
    </row>
    <row r="5" spans="1:14" x14ac:dyDescent="0.3">
      <c r="A5" s="666" t="s">
        <v>537</v>
      </c>
      <c r="B5" s="199" t="s">
        <v>297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  <c r="B7" s="161" t="s">
        <v>2101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68">
        <v>10</v>
      </c>
      <c r="B10" s="676" t="s">
        <v>2099</v>
      </c>
      <c r="C10" s="168" t="s">
        <v>607</v>
      </c>
      <c r="D10" s="323">
        <v>4.2</v>
      </c>
      <c r="E10" s="168">
        <v>40</v>
      </c>
      <c r="F10" s="168" t="s">
        <v>573</v>
      </c>
      <c r="G10" s="168">
        <v>25</v>
      </c>
      <c r="H10" s="219" t="s">
        <v>573</v>
      </c>
      <c r="I10" s="269" t="s">
        <v>861</v>
      </c>
      <c r="J10" s="228">
        <f>E10*G10/1000000</f>
        <v>1E-3</v>
      </c>
      <c r="K10" s="228">
        <v>1.5E-3</v>
      </c>
      <c r="L10" s="219">
        <v>2710</v>
      </c>
      <c r="M10" s="339">
        <v>1</v>
      </c>
      <c r="N10" s="322">
        <f>IF(J10="",D10*M10,D10*J10*K10*L10*M10)</f>
        <v>1.7073000000000001E-2</v>
      </c>
    </row>
    <row r="11" spans="1:14" s="178" customFormat="1" x14ac:dyDescent="0.3">
      <c r="M11" s="669" t="s">
        <v>547</v>
      </c>
      <c r="N11" s="670">
        <f>SUM(N10:N10)</f>
        <v>1.7073000000000001E-2</v>
      </c>
    </row>
    <row r="13" spans="1:14" s="178" customFormat="1" x14ac:dyDescent="0.3">
      <c r="A13" s="668" t="s">
        <v>544</v>
      </c>
      <c r="B13" s="668" t="s">
        <v>548</v>
      </c>
      <c r="C13" s="668" t="s">
        <v>549</v>
      </c>
      <c r="D13" s="668" t="s">
        <v>550</v>
      </c>
      <c r="E13" s="668" t="s">
        <v>551</v>
      </c>
      <c r="F13" s="668" t="s">
        <v>28</v>
      </c>
      <c r="G13" s="668" t="s">
        <v>552</v>
      </c>
      <c r="H13" s="668" t="s">
        <v>553</v>
      </c>
      <c r="I13" s="668" t="s">
        <v>547</v>
      </c>
    </row>
    <row r="14" spans="1:14" s="248" customFormat="1" ht="28.8" x14ac:dyDescent="0.3">
      <c r="A14" s="184">
        <v>10</v>
      </c>
      <c r="B14" s="180" t="s">
        <v>589</v>
      </c>
      <c r="C14" s="184" t="s">
        <v>699</v>
      </c>
      <c r="D14" s="362">
        <v>1.3</v>
      </c>
      <c r="E14" s="184" t="s">
        <v>556</v>
      </c>
      <c r="F14" s="184">
        <v>1</v>
      </c>
      <c r="G14" s="184" t="s">
        <v>2102</v>
      </c>
      <c r="H14" s="677">
        <f>1/6</f>
        <v>0.16666666666666666</v>
      </c>
      <c r="I14" s="323">
        <f>D14*F14*H14</f>
        <v>0.21666666666666667</v>
      </c>
      <c r="J14" s="161"/>
    </row>
    <row r="15" spans="1:14" x14ac:dyDescent="0.3">
      <c r="A15" s="168">
        <v>20</v>
      </c>
      <c r="B15" s="171" t="s">
        <v>700</v>
      </c>
      <c r="C15" s="171" t="s">
        <v>592</v>
      </c>
      <c r="D15" s="323">
        <v>0.01</v>
      </c>
      <c r="E15" s="168" t="s">
        <v>593</v>
      </c>
      <c r="F15" s="168">
        <v>10.3</v>
      </c>
      <c r="G15" s="168" t="s">
        <v>598</v>
      </c>
      <c r="H15" s="168">
        <v>3</v>
      </c>
      <c r="I15" s="323">
        <f>IF('EL 02003'!$H15&lt;&gt;"",'EL 02003'!$D15*'EL 02003'!$F15*'EL 02003'!$H15,'EL 02003'!$D15*'EL 02003'!$F15)</f>
        <v>0.30900000000000005</v>
      </c>
    </row>
    <row r="16" spans="1:14" s="178" customFormat="1" x14ac:dyDescent="0.3">
      <c r="H16" s="669" t="s">
        <v>547</v>
      </c>
      <c r="I16" s="670">
        <f>SUM(I14:I15)</f>
        <v>0.52566666666666673</v>
      </c>
    </row>
  </sheetData>
  <pageMargins left="0.5" right="0.5" top="0.75" bottom="0.75" header="0.3" footer="0.3"/>
  <pageSetup paperSize="9" scale="58" orientation="landscape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91"/>
  <sheetViews>
    <sheetView showGridLines="0" workbookViewId="0"/>
  </sheetViews>
  <sheetFormatPr defaultColWidth="11.44140625" defaultRowHeight="14.4" x14ac:dyDescent="0.3"/>
  <cols>
    <col min="2" max="2" width="30.6640625" customWidth="1"/>
    <col min="3" max="3" width="27.44140625" customWidth="1"/>
    <col min="13" max="13" width="19.109375" customWidth="1"/>
    <col min="14" max="14" width="14.664062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N11</f>
        <v>30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1</v>
      </c>
    </row>
    <row r="3" spans="1:14" x14ac:dyDescent="0.3">
      <c r="A3" s="197" t="s">
        <v>534</v>
      </c>
      <c r="B3" t="s">
        <v>705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1" t="s">
        <v>61</v>
      </c>
      <c r="D4" s="197" t="s">
        <v>541</v>
      </c>
      <c r="J4" s="197" t="s">
        <v>538</v>
      </c>
      <c r="M4" s="197" t="s">
        <v>539</v>
      </c>
      <c r="N4" s="164">
        <f>N2*N1</f>
        <v>30</v>
      </c>
    </row>
    <row r="5" spans="1:14" x14ac:dyDescent="0.3">
      <c r="A5" s="197" t="s">
        <v>537</v>
      </c>
      <c r="B5" s="199" t="s">
        <v>62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s="196" customFormat="1" x14ac:dyDescent="0.3">
      <c r="A7" s="298" t="s">
        <v>542</v>
      </c>
      <c r="B7" s="311" t="s">
        <v>716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s="196" customFormat="1" x14ac:dyDescent="0.3">
      <c r="A10" s="267">
        <v>10</v>
      </c>
      <c r="B10" s="225" t="s">
        <v>717</v>
      </c>
      <c r="C10" s="184" t="s">
        <v>718</v>
      </c>
      <c r="D10" s="309">
        <v>30</v>
      </c>
      <c r="E10" s="267"/>
      <c r="F10" s="184" t="s">
        <v>556</v>
      </c>
      <c r="G10" s="267"/>
      <c r="H10" s="267"/>
      <c r="I10" s="267"/>
      <c r="J10" s="267"/>
      <c r="K10" s="267"/>
      <c r="L10" s="267"/>
      <c r="M10" s="267">
        <v>1</v>
      </c>
      <c r="N10" s="310">
        <f>M10*D10</f>
        <v>30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216" t="s">
        <v>547</v>
      </c>
      <c r="N11" s="305">
        <f>N10</f>
        <v>30</v>
      </c>
    </row>
    <row r="12" spans="1:14" x14ac:dyDescent="0.3">
      <c r="A12" s="153"/>
      <c r="B12" s="153"/>
      <c r="C12" s="153"/>
      <c r="D12" s="153"/>
      <c r="E12" s="153"/>
      <c r="F12" s="153"/>
      <c r="G12" s="153"/>
      <c r="H12" s="153"/>
      <c r="I12" s="153"/>
      <c r="J12" s="153"/>
      <c r="K12" s="153"/>
    </row>
    <row r="13" spans="1:14" x14ac:dyDescent="0.3">
      <c r="A13" s="153"/>
      <c r="B13" s="153"/>
      <c r="C13" s="153"/>
      <c r="D13" s="153"/>
      <c r="E13" s="153"/>
      <c r="F13" s="153"/>
      <c r="G13" s="153"/>
      <c r="H13" s="153"/>
      <c r="I13" s="153"/>
      <c r="J13" s="153"/>
      <c r="K13" s="153"/>
    </row>
    <row r="14" spans="1:14" x14ac:dyDescent="0.3">
      <c r="A14" s="153"/>
      <c r="B14" s="153"/>
      <c r="C14" s="153"/>
      <c r="D14" s="153"/>
      <c r="E14" s="153"/>
      <c r="F14" s="153"/>
      <c r="G14" s="153"/>
      <c r="H14" s="153"/>
      <c r="I14" s="153"/>
      <c r="J14" s="153"/>
      <c r="K14" s="153"/>
    </row>
    <row r="15" spans="1:14" x14ac:dyDescent="0.3">
      <c r="A15" s="153"/>
      <c r="B15" s="153"/>
      <c r="C15" s="153"/>
      <c r="D15" s="153"/>
      <c r="E15" s="153"/>
      <c r="F15" s="153"/>
      <c r="G15" s="153"/>
      <c r="H15" s="153"/>
      <c r="I15" s="153"/>
      <c r="J15" s="153"/>
      <c r="K15" s="153"/>
    </row>
    <row r="16" spans="1:14" x14ac:dyDescent="0.3">
      <c r="A16" s="153"/>
      <c r="B16" s="153"/>
      <c r="C16" s="153"/>
      <c r="D16" s="153"/>
      <c r="E16" s="153"/>
      <c r="F16" s="153"/>
      <c r="G16" s="153"/>
      <c r="H16" s="153"/>
      <c r="I16" s="153"/>
      <c r="J16" s="153"/>
      <c r="K16" s="153"/>
    </row>
    <row r="17" spans="1:11" x14ac:dyDescent="0.3">
      <c r="A17" s="153"/>
      <c r="B17" s="153"/>
      <c r="C17" s="153"/>
      <c r="D17" s="153"/>
      <c r="E17" s="153"/>
      <c r="F17" s="153"/>
      <c r="G17" s="153"/>
      <c r="H17" s="153"/>
      <c r="I17" s="153"/>
      <c r="J17" s="153"/>
      <c r="K17" s="153"/>
    </row>
    <row r="18" spans="1:11" x14ac:dyDescent="0.3">
      <c r="A18" s="153"/>
      <c r="B18" s="153"/>
      <c r="C18" s="153"/>
      <c r="D18" s="153"/>
      <c r="E18" s="153"/>
      <c r="F18" s="153"/>
      <c r="G18" s="153"/>
      <c r="H18" s="153"/>
      <c r="I18" s="153"/>
      <c r="J18" s="153"/>
      <c r="K18" s="153"/>
    </row>
    <row r="19" spans="1:11" x14ac:dyDescent="0.3">
      <c r="A19" s="153"/>
      <c r="B19" s="153"/>
      <c r="C19" s="153"/>
      <c r="D19" s="153"/>
      <c r="E19" s="153"/>
      <c r="F19" s="153"/>
      <c r="G19" s="153"/>
      <c r="H19" s="153"/>
      <c r="I19" s="153"/>
      <c r="J19" s="153"/>
      <c r="K19" s="153"/>
    </row>
    <row r="20" spans="1:11" x14ac:dyDescent="0.3">
      <c r="A20" s="153"/>
      <c r="B20" s="153"/>
      <c r="C20" s="153"/>
      <c r="D20" s="153"/>
      <c r="E20" s="153"/>
      <c r="F20" s="153"/>
      <c r="G20" s="153"/>
      <c r="H20" s="153"/>
      <c r="I20" s="153"/>
      <c r="J20" s="153"/>
      <c r="K20" s="153"/>
    </row>
    <row r="21" spans="1:11" x14ac:dyDescent="0.3">
      <c r="A21" s="153"/>
      <c r="B21" s="153"/>
      <c r="C21" s="153"/>
      <c r="D21" s="153"/>
      <c r="E21" s="153"/>
      <c r="F21" s="153"/>
      <c r="G21" s="153"/>
      <c r="H21" s="153"/>
      <c r="I21" s="153"/>
      <c r="J21" s="153"/>
      <c r="K21" s="153"/>
    </row>
    <row r="22" spans="1:11" x14ac:dyDescent="0.3">
      <c r="A22" s="153"/>
      <c r="B22" s="153"/>
      <c r="C22" s="153"/>
      <c r="D22" s="153"/>
      <c r="E22" s="153"/>
      <c r="F22" s="153"/>
      <c r="G22" s="153"/>
      <c r="H22" s="153"/>
      <c r="I22" s="153"/>
      <c r="J22" s="153"/>
      <c r="K22" s="153"/>
    </row>
    <row r="23" spans="1:11" x14ac:dyDescent="0.3">
      <c r="A23" s="153"/>
      <c r="B23" s="153"/>
      <c r="C23" s="153"/>
      <c r="D23" s="153"/>
      <c r="E23" s="153"/>
      <c r="F23" s="153"/>
      <c r="G23" s="153"/>
      <c r="H23" s="153"/>
      <c r="I23" s="153"/>
      <c r="J23" s="153"/>
      <c r="K23" s="153"/>
    </row>
    <row r="24" spans="1:11" x14ac:dyDescent="0.3">
      <c r="A24" s="153"/>
      <c r="B24" s="153"/>
      <c r="C24" s="153"/>
      <c r="D24" s="153"/>
      <c r="E24" s="153"/>
      <c r="F24" s="153"/>
      <c r="G24" s="153"/>
      <c r="H24" s="153"/>
      <c r="I24" s="153"/>
      <c r="J24" s="153"/>
      <c r="K24" s="153"/>
    </row>
    <row r="25" spans="1:11" x14ac:dyDescent="0.3">
      <c r="A25" s="153"/>
      <c r="B25" s="153"/>
      <c r="C25" s="153"/>
      <c r="D25" s="153"/>
      <c r="E25" s="153"/>
      <c r="F25" s="153"/>
      <c r="G25" s="153"/>
      <c r="H25" s="153"/>
      <c r="I25" s="153"/>
      <c r="J25" s="153"/>
      <c r="K25" s="153"/>
    </row>
    <row r="26" spans="1:11" x14ac:dyDescent="0.3">
      <c r="A26" s="153"/>
      <c r="B26" s="153"/>
      <c r="C26" s="153"/>
      <c r="D26" s="153"/>
      <c r="E26" s="153"/>
      <c r="F26" s="153"/>
      <c r="G26" s="153"/>
      <c r="H26" s="153"/>
      <c r="I26" s="153"/>
      <c r="J26" s="153"/>
      <c r="K26" s="153"/>
    </row>
    <row r="54" spans="1:8" x14ac:dyDescent="0.3">
      <c r="A54" s="161"/>
      <c r="B54" s="161"/>
      <c r="C54" s="161"/>
      <c r="D54" s="161"/>
      <c r="E54" s="161"/>
      <c r="F54" s="161"/>
      <c r="G54" s="161"/>
      <c r="H54" s="161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</sheetData>
  <pageMargins left="0.7" right="0.7" top="0.75" bottom="0.75" header="0.3" footer="0.3"/>
  <pageSetup paperSize="9" scale="63" fitToHeight="0" orientation="landscape" r:id="rId1"/>
</worksheet>
</file>

<file path=xl/worksheets/sheet2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5.5546875" style="161" customWidth="1"/>
    <col min="3" max="3" width="31.33203125" style="161" customWidth="1"/>
    <col min="4" max="4" width="13.5546875" style="161" bestFit="1" customWidth="1"/>
    <col min="5" max="5" width="9.33203125" style="161" customWidth="1"/>
    <col min="6" max="6" width="12" style="161" bestFit="1" customWidth="1"/>
    <col min="7" max="7" width="19.88671875" style="161" customWidth="1"/>
    <col min="8" max="8" width="10.44140625" style="161" customWidth="1"/>
    <col min="9" max="9" width="19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N11+I17</f>
        <v>2.5860970999999999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1</v>
      </c>
    </row>
    <row r="3" spans="1:14" x14ac:dyDescent="0.3">
      <c r="A3" s="666" t="s">
        <v>534</v>
      </c>
      <c r="B3" s="161" t="s">
        <v>292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2112</v>
      </c>
      <c r="D4" s="666" t="s">
        <v>541</v>
      </c>
      <c r="J4" s="666" t="s">
        <v>538</v>
      </c>
      <c r="M4" s="666" t="s">
        <v>539</v>
      </c>
      <c r="N4" s="336">
        <f>N1*N2</f>
        <v>2.5860970999999999</v>
      </c>
    </row>
    <row r="5" spans="1:14" x14ac:dyDescent="0.3">
      <c r="A5" s="666" t="s">
        <v>537</v>
      </c>
      <c r="B5" s="199" t="s">
        <v>298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  <c r="B7" s="161" t="s">
        <v>2113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68">
        <v>10</v>
      </c>
      <c r="B10" s="168" t="s">
        <v>707</v>
      </c>
      <c r="C10" s="168" t="s">
        <v>607</v>
      </c>
      <c r="D10" s="302">
        <v>4.2</v>
      </c>
      <c r="E10" s="168">
        <v>90</v>
      </c>
      <c r="F10" s="168" t="s">
        <v>573</v>
      </c>
      <c r="G10" s="168">
        <v>30</v>
      </c>
      <c r="H10" s="219" t="s">
        <v>573</v>
      </c>
      <c r="I10" s="269" t="s">
        <v>2114</v>
      </c>
      <c r="J10" s="227">
        <f>E10*G10/1000000</f>
        <v>2.7000000000000001E-3</v>
      </c>
      <c r="K10" s="610">
        <v>1.5E-3</v>
      </c>
      <c r="L10" s="219">
        <v>2710</v>
      </c>
      <c r="M10" s="222">
        <v>1</v>
      </c>
      <c r="N10" s="322">
        <f>IF(J10="",D10*M10,D10*J10*K10*L10*M10)</f>
        <v>4.6097100000000002E-2</v>
      </c>
    </row>
    <row r="11" spans="1:14" s="178" customFormat="1" x14ac:dyDescent="0.3">
      <c r="M11" s="679" t="s">
        <v>547</v>
      </c>
      <c r="N11" s="670">
        <f>SUM(N10:N10)</f>
        <v>4.6097100000000002E-2</v>
      </c>
    </row>
    <row r="13" spans="1:14" s="178" customFormat="1" x14ac:dyDescent="0.3">
      <c r="A13" s="668" t="s">
        <v>544</v>
      </c>
      <c r="B13" s="668" t="s">
        <v>548</v>
      </c>
      <c r="C13" s="668" t="s">
        <v>549</v>
      </c>
      <c r="D13" s="668" t="s">
        <v>550</v>
      </c>
      <c r="E13" s="668" t="s">
        <v>551</v>
      </c>
      <c r="F13" s="668" t="s">
        <v>28</v>
      </c>
      <c r="G13" s="668" t="s">
        <v>552</v>
      </c>
      <c r="H13" s="668" t="s">
        <v>553</v>
      </c>
      <c r="I13" s="668" t="s">
        <v>547</v>
      </c>
    </row>
    <row r="14" spans="1:14" ht="28.8" x14ac:dyDescent="0.3">
      <c r="A14" s="168">
        <v>10</v>
      </c>
      <c r="B14" s="180" t="s">
        <v>589</v>
      </c>
      <c r="C14" s="184" t="s">
        <v>699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D14*F14</f>
        <v>1.3</v>
      </c>
    </row>
    <row r="15" spans="1:14" x14ac:dyDescent="0.3">
      <c r="A15" s="168">
        <v>20</v>
      </c>
      <c r="B15" s="285" t="s">
        <v>700</v>
      </c>
      <c r="C15" s="171" t="s">
        <v>701</v>
      </c>
      <c r="D15" s="323">
        <v>0.01</v>
      </c>
      <c r="E15" s="168" t="s">
        <v>593</v>
      </c>
      <c r="F15" s="168">
        <v>24</v>
      </c>
      <c r="G15" s="180" t="s">
        <v>710</v>
      </c>
      <c r="H15" s="179">
        <v>1</v>
      </c>
      <c r="I15" s="323">
        <f>D15*F15*H15</f>
        <v>0.24</v>
      </c>
    </row>
    <row r="16" spans="1:14" x14ac:dyDescent="0.3">
      <c r="A16" s="168">
        <v>30</v>
      </c>
      <c r="B16" s="180" t="s">
        <v>702</v>
      </c>
      <c r="C16" s="168" t="s">
        <v>703</v>
      </c>
      <c r="D16" s="323">
        <v>0.25</v>
      </c>
      <c r="E16" s="168" t="s">
        <v>704</v>
      </c>
      <c r="F16" s="168">
        <v>4</v>
      </c>
      <c r="G16" s="168"/>
      <c r="H16" s="168"/>
      <c r="I16" s="323">
        <f>D16*F16</f>
        <v>1</v>
      </c>
    </row>
    <row r="17" spans="8:9" s="178" customFormat="1" x14ac:dyDescent="0.3">
      <c r="H17" s="669" t="s">
        <v>547</v>
      </c>
      <c r="I17" s="670">
        <f>SUM(I14:I16)</f>
        <v>2.54</v>
      </c>
    </row>
  </sheetData>
  <pageMargins left="0.5" right="0.5" top="0.75" bottom="0.75" header="0.3" footer="0.3"/>
  <pageSetup scale="57" orientation="landscape" r:id="rId1"/>
</worksheet>
</file>

<file path=xl/worksheets/sheet2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8.33203125" style="161" customWidth="1"/>
    <col min="3" max="3" width="24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0.44140625" style="161" customWidth="1"/>
    <col min="9" max="9" width="19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N12+I16</f>
        <v>30.19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1</v>
      </c>
    </row>
    <row r="3" spans="1:14" x14ac:dyDescent="0.3">
      <c r="A3" s="666" t="s">
        <v>534</v>
      </c>
      <c r="B3" s="161" t="s">
        <v>292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2117</v>
      </c>
      <c r="D4" s="666" t="s">
        <v>541</v>
      </c>
      <c r="J4" s="666" t="s">
        <v>538</v>
      </c>
      <c r="M4" s="666" t="s">
        <v>539</v>
      </c>
      <c r="N4" s="336">
        <f>N1*N2</f>
        <v>30.19</v>
      </c>
    </row>
    <row r="5" spans="1:14" x14ac:dyDescent="0.3">
      <c r="A5" s="666" t="s">
        <v>537</v>
      </c>
      <c r="B5" s="199" t="s">
        <v>2119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  <c r="B7" s="161" t="s">
        <v>2118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68">
        <v>10</v>
      </c>
      <c r="B10" s="225" t="s">
        <v>2107</v>
      </c>
      <c r="C10" s="168" t="s">
        <v>2108</v>
      </c>
      <c r="D10" s="323">
        <v>25</v>
      </c>
      <c r="E10" s="168" t="s">
        <v>556</v>
      </c>
      <c r="F10" s="168"/>
      <c r="G10" s="168"/>
      <c r="H10" s="219"/>
      <c r="I10" s="269"/>
      <c r="J10" s="228"/>
      <c r="K10" s="228"/>
      <c r="L10" s="219"/>
      <c r="M10" s="339">
        <v>1</v>
      </c>
      <c r="N10" s="322">
        <f>IF(J10="",D10*M10,D10*J10*K10*L10*M10)</f>
        <v>25</v>
      </c>
    </row>
    <row r="11" spans="1:14" ht="28.8" x14ac:dyDescent="0.3">
      <c r="A11" s="168">
        <v>20</v>
      </c>
      <c r="B11" s="225" t="s">
        <v>2109</v>
      </c>
      <c r="C11" s="184" t="s">
        <v>2118</v>
      </c>
      <c r="D11" s="323">
        <v>5</v>
      </c>
      <c r="E11" s="168" t="s">
        <v>556</v>
      </c>
      <c r="F11" s="168"/>
      <c r="G11" s="168"/>
      <c r="H11" s="219"/>
      <c r="I11" s="269"/>
      <c r="J11" s="228"/>
      <c r="K11" s="228"/>
      <c r="L11" s="219"/>
      <c r="M11" s="339">
        <v>1</v>
      </c>
      <c r="N11" s="322">
        <f>IF(J11="",D11*M11,D11*J11*K11*L11*M11)</f>
        <v>5</v>
      </c>
    </row>
    <row r="12" spans="1:14" s="178" customFormat="1" x14ac:dyDescent="0.3">
      <c r="M12" s="679" t="s">
        <v>547</v>
      </c>
      <c r="N12" s="670">
        <f>SUM(N10:N11)</f>
        <v>30</v>
      </c>
    </row>
    <row r="14" spans="1:14" s="178" customFormat="1" x14ac:dyDescent="0.3">
      <c r="A14" s="668" t="s">
        <v>544</v>
      </c>
      <c r="B14" s="668" t="s">
        <v>548</v>
      </c>
      <c r="C14" s="668" t="s">
        <v>549</v>
      </c>
      <c r="D14" s="668" t="s">
        <v>550</v>
      </c>
      <c r="E14" s="668" t="s">
        <v>551</v>
      </c>
      <c r="F14" s="668" t="s">
        <v>28</v>
      </c>
      <c r="G14" s="668" t="s">
        <v>552</v>
      </c>
      <c r="H14" s="668" t="s">
        <v>553</v>
      </c>
      <c r="I14" s="668" t="s">
        <v>547</v>
      </c>
    </row>
    <row r="15" spans="1:14" x14ac:dyDescent="0.3">
      <c r="A15" s="168">
        <v>10</v>
      </c>
      <c r="B15" s="171" t="s">
        <v>760</v>
      </c>
      <c r="C15" s="171" t="s">
        <v>2111</v>
      </c>
      <c r="D15" s="323">
        <v>0.19</v>
      </c>
      <c r="E15" s="168" t="s">
        <v>556</v>
      </c>
      <c r="F15" s="168">
        <v>1</v>
      </c>
      <c r="G15" s="168"/>
      <c r="H15" s="168"/>
      <c r="I15" s="323">
        <f>IF('EL 02005'!$H15&lt;&gt;"",'EL 02005'!$D15*'EL 02005'!$F15*'EL 02005'!$H15,'EL 02005'!$D15*'EL 02005'!$F15)</f>
        <v>0.19</v>
      </c>
    </row>
    <row r="16" spans="1:14" s="178" customFormat="1" x14ac:dyDescent="0.3">
      <c r="H16" s="669" t="s">
        <v>547</v>
      </c>
      <c r="I16" s="670">
        <f>SUM(I15:I15)</f>
        <v>0.19</v>
      </c>
    </row>
  </sheetData>
  <pageMargins left="0.5" right="0.5" top="0.75" bottom="0.75" header="0.3" footer="0.3"/>
  <pageSetup paperSize="9" scale="63" orientation="landscape" r:id="rId1"/>
</worksheet>
</file>

<file path=xl/worksheets/sheet2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249977111117893"/>
    <pageSetUpPr fitToPage="1"/>
  </sheetPr>
  <dimension ref="A1:N81"/>
  <sheetViews>
    <sheetView showGridLines="0" workbookViewId="0"/>
  </sheetViews>
  <sheetFormatPr defaultColWidth="9.109375" defaultRowHeight="14.4" x14ac:dyDescent="0.3"/>
  <cols>
    <col min="1" max="1" width="12.109375" style="248" customWidth="1"/>
    <col min="2" max="2" width="46.5546875" style="248" customWidth="1"/>
    <col min="3" max="3" width="37.77734375" style="248" customWidth="1"/>
    <col min="4" max="4" width="11" style="248" customWidth="1"/>
    <col min="5" max="5" width="12" style="248" customWidth="1"/>
    <col min="6" max="6" width="9.6640625" style="248" customWidth="1"/>
    <col min="7" max="7" width="10" style="248" customWidth="1"/>
    <col min="8" max="8" width="17.6640625" style="248" customWidth="1"/>
    <col min="9" max="9" width="12.109375" style="248" customWidth="1"/>
    <col min="10" max="10" width="10.109375" style="248" customWidth="1"/>
    <col min="11" max="11" width="7.6640625" style="248" customWidth="1"/>
    <col min="12" max="12" width="10.33203125" style="248" customWidth="1"/>
    <col min="13" max="13" width="18.88671875" style="248" customWidth="1"/>
    <col min="14" max="14" width="11.6640625" style="248" customWidth="1"/>
    <col min="15" max="16384" width="9.109375" style="248"/>
  </cols>
  <sheetData>
    <row r="1" spans="1:14" x14ac:dyDescent="0.3">
      <c r="A1" s="680" t="s">
        <v>523</v>
      </c>
      <c r="B1" s="248" t="s">
        <v>524</v>
      </c>
      <c r="J1" s="680" t="s">
        <v>528</v>
      </c>
      <c r="K1" s="250">
        <v>81</v>
      </c>
      <c r="M1" s="680" t="s">
        <v>531</v>
      </c>
      <c r="N1" s="364">
        <f>E11+N35+I67+J75+I79</f>
        <v>145.887643</v>
      </c>
    </row>
    <row r="2" spans="1:14" x14ac:dyDescent="0.3">
      <c r="A2" s="680" t="s">
        <v>532</v>
      </c>
      <c r="B2" s="248" t="s">
        <v>285</v>
      </c>
      <c r="M2" s="680" t="s">
        <v>533</v>
      </c>
      <c r="N2" s="306">
        <v>1</v>
      </c>
    </row>
    <row r="3" spans="1:14" x14ac:dyDescent="0.3">
      <c r="A3" s="680" t="s">
        <v>534</v>
      </c>
      <c r="B3" s="248" t="s">
        <v>2122</v>
      </c>
      <c r="J3" s="680" t="s">
        <v>536</v>
      </c>
    </row>
    <row r="4" spans="1:14" x14ac:dyDescent="0.3">
      <c r="A4" s="680" t="s">
        <v>537</v>
      </c>
      <c r="B4" s="319" t="s">
        <v>299</v>
      </c>
      <c r="J4" s="680" t="s">
        <v>538</v>
      </c>
      <c r="M4" s="680" t="s">
        <v>539</v>
      </c>
      <c r="N4" s="364">
        <f>N1*N2</f>
        <v>145.887643</v>
      </c>
    </row>
    <row r="5" spans="1:14" x14ac:dyDescent="0.3">
      <c r="A5" s="680" t="s">
        <v>540</v>
      </c>
      <c r="B5" s="248" t="s">
        <v>36</v>
      </c>
      <c r="J5" s="680" t="s">
        <v>541</v>
      </c>
    </row>
    <row r="6" spans="1:14" ht="28.8" x14ac:dyDescent="0.3">
      <c r="A6" s="680" t="s">
        <v>542</v>
      </c>
      <c r="B6" s="248" t="s">
        <v>2193</v>
      </c>
    </row>
    <row r="8" spans="1:14" x14ac:dyDescent="0.3">
      <c r="A8" s="662" t="s">
        <v>544</v>
      </c>
      <c r="B8" s="662" t="s">
        <v>545</v>
      </c>
      <c r="C8" s="662" t="s">
        <v>546</v>
      </c>
      <c r="D8" s="662" t="s">
        <v>28</v>
      </c>
      <c r="E8" s="662" t="s">
        <v>547</v>
      </c>
    </row>
    <row r="9" spans="1:14" x14ac:dyDescent="0.3">
      <c r="A9" s="184">
        <v>10</v>
      </c>
      <c r="B9" s="184" t="s">
        <v>2123</v>
      </c>
      <c r="C9" s="362">
        <f>'EL 03001'!N1</f>
        <v>1.137254</v>
      </c>
      <c r="D9" s="681">
        <v>2</v>
      </c>
      <c r="E9" s="363">
        <f>C9*D9</f>
        <v>2.274508</v>
      </c>
    </row>
    <row r="10" spans="1:14" x14ac:dyDescent="0.3">
      <c r="A10" s="184">
        <v>20</v>
      </c>
      <c r="B10" s="218" t="s">
        <v>2186</v>
      </c>
      <c r="C10" s="362">
        <f>'EL 03002'!N1</f>
        <v>2.3521350000000001</v>
      </c>
      <c r="D10" s="681">
        <v>1</v>
      </c>
      <c r="E10" s="363">
        <f>C10*D10</f>
        <v>2.3521350000000001</v>
      </c>
    </row>
    <row r="11" spans="1:14" x14ac:dyDescent="0.3">
      <c r="D11" s="663" t="s">
        <v>547</v>
      </c>
      <c r="E11" s="686">
        <f>SUM(E9:E10)</f>
        <v>4.6266429999999996</v>
      </c>
    </row>
    <row r="13" spans="1:14" x14ac:dyDescent="0.3">
      <c r="A13" s="662" t="s">
        <v>544</v>
      </c>
      <c r="B13" s="662" t="s">
        <v>581</v>
      </c>
      <c r="C13" s="662" t="s">
        <v>549</v>
      </c>
      <c r="D13" s="662" t="s">
        <v>550</v>
      </c>
      <c r="E13" s="662" t="s">
        <v>567</v>
      </c>
      <c r="F13" s="662" t="s">
        <v>568</v>
      </c>
      <c r="G13" s="662" t="s">
        <v>569</v>
      </c>
      <c r="H13" s="662" t="s">
        <v>570</v>
      </c>
      <c r="I13" s="662" t="s">
        <v>582</v>
      </c>
      <c r="J13" s="662" t="s">
        <v>583</v>
      </c>
      <c r="K13" s="662" t="s">
        <v>584</v>
      </c>
      <c r="L13" s="662" t="s">
        <v>585</v>
      </c>
      <c r="M13" s="662" t="s">
        <v>28</v>
      </c>
      <c r="N13" s="662" t="s">
        <v>547</v>
      </c>
    </row>
    <row r="14" spans="1:14" x14ac:dyDescent="0.3">
      <c r="A14" s="184">
        <v>10</v>
      </c>
      <c r="B14" s="225" t="s">
        <v>2124</v>
      </c>
      <c r="C14" s="184" t="s">
        <v>2125</v>
      </c>
      <c r="D14" s="362">
        <v>1</v>
      </c>
      <c r="E14" s="184">
        <v>21.6</v>
      </c>
      <c r="F14" s="184" t="s">
        <v>644</v>
      </c>
      <c r="G14" s="184"/>
      <c r="H14" s="268"/>
      <c r="I14" s="269"/>
      <c r="J14" s="270"/>
      <c r="K14" s="268"/>
      <c r="L14" s="268"/>
      <c r="M14" s="365">
        <v>1</v>
      </c>
      <c r="N14" s="363">
        <f>D14*E14*M14</f>
        <v>21.6</v>
      </c>
    </row>
    <row r="15" spans="1:14" x14ac:dyDescent="0.3">
      <c r="A15" s="184">
        <v>20</v>
      </c>
      <c r="B15" s="225" t="s">
        <v>2124</v>
      </c>
      <c r="C15" s="184" t="s">
        <v>2126</v>
      </c>
      <c r="D15" s="362">
        <v>1</v>
      </c>
      <c r="E15" s="184">
        <v>3.5</v>
      </c>
      <c r="F15" s="184" t="s">
        <v>644</v>
      </c>
      <c r="G15" s="184"/>
      <c r="H15" s="268"/>
      <c r="I15" s="269"/>
      <c r="J15" s="270"/>
      <c r="K15" s="268"/>
      <c r="L15" s="268"/>
      <c r="M15" s="365">
        <v>1</v>
      </c>
      <c r="N15" s="363">
        <f t="shared" ref="N15:N32" si="0">D15*E15*M15</f>
        <v>3.5</v>
      </c>
    </row>
    <row r="16" spans="1:14" x14ac:dyDescent="0.3">
      <c r="A16" s="184">
        <v>30</v>
      </c>
      <c r="B16" s="225" t="s">
        <v>2124</v>
      </c>
      <c r="C16" s="184" t="s">
        <v>1530</v>
      </c>
      <c r="D16" s="362">
        <v>1</v>
      </c>
      <c r="E16" s="184">
        <v>2</v>
      </c>
      <c r="F16" s="184" t="s">
        <v>644</v>
      </c>
      <c r="G16" s="184"/>
      <c r="H16" s="268"/>
      <c r="I16" s="269"/>
      <c r="J16" s="270"/>
      <c r="K16" s="268"/>
      <c r="L16" s="268"/>
      <c r="M16" s="365">
        <v>1</v>
      </c>
      <c r="N16" s="363">
        <f t="shared" si="0"/>
        <v>2</v>
      </c>
    </row>
    <row r="17" spans="1:14" x14ac:dyDescent="0.3">
      <c r="A17" s="184">
        <v>40</v>
      </c>
      <c r="B17" s="225" t="s">
        <v>2124</v>
      </c>
      <c r="C17" s="184" t="s">
        <v>2127</v>
      </c>
      <c r="D17" s="362">
        <v>1</v>
      </c>
      <c r="E17" s="184">
        <v>1</v>
      </c>
      <c r="F17" s="184" t="s">
        <v>644</v>
      </c>
      <c r="G17" s="184"/>
      <c r="H17" s="268"/>
      <c r="I17" s="269"/>
      <c r="J17" s="270"/>
      <c r="K17" s="268"/>
      <c r="L17" s="268"/>
      <c r="M17" s="365">
        <v>1</v>
      </c>
      <c r="N17" s="363">
        <f t="shared" si="0"/>
        <v>1</v>
      </c>
    </row>
    <row r="18" spans="1:14" x14ac:dyDescent="0.3">
      <c r="A18" s="184">
        <v>50</v>
      </c>
      <c r="B18" s="225" t="s">
        <v>2128</v>
      </c>
      <c r="C18" s="184" t="s">
        <v>2129</v>
      </c>
      <c r="D18" s="362">
        <v>1</v>
      </c>
      <c r="E18" s="184">
        <v>0.25</v>
      </c>
      <c r="F18" s="184" t="s">
        <v>644</v>
      </c>
      <c r="G18" s="184"/>
      <c r="H18" s="268"/>
      <c r="I18" s="269"/>
      <c r="J18" s="270"/>
      <c r="K18" s="268"/>
      <c r="L18" s="268"/>
      <c r="M18" s="365">
        <v>1</v>
      </c>
      <c r="N18" s="363">
        <f t="shared" si="0"/>
        <v>0.25</v>
      </c>
    </row>
    <row r="19" spans="1:14" x14ac:dyDescent="0.3">
      <c r="A19" s="184">
        <v>60</v>
      </c>
      <c r="B19" s="225" t="s">
        <v>2130</v>
      </c>
      <c r="C19" s="184" t="s">
        <v>2131</v>
      </c>
      <c r="D19" s="362">
        <v>0.5</v>
      </c>
      <c r="E19" s="184">
        <v>2</v>
      </c>
      <c r="F19" s="184" t="s">
        <v>644</v>
      </c>
      <c r="G19" s="184"/>
      <c r="H19" s="268"/>
      <c r="I19" s="269"/>
      <c r="J19" s="270"/>
      <c r="K19" s="268"/>
      <c r="L19" s="268"/>
      <c r="M19" s="365">
        <v>1</v>
      </c>
      <c r="N19" s="363">
        <f t="shared" si="0"/>
        <v>1</v>
      </c>
    </row>
    <row r="20" spans="1:14" x14ac:dyDescent="0.3">
      <c r="A20" s="184">
        <v>70</v>
      </c>
      <c r="B20" s="225" t="s">
        <v>2132</v>
      </c>
      <c r="C20" s="184" t="s">
        <v>2133</v>
      </c>
      <c r="D20" s="362">
        <v>1</v>
      </c>
      <c r="E20" s="184">
        <v>5</v>
      </c>
      <c r="F20" s="184" t="s">
        <v>2034</v>
      </c>
      <c r="G20" s="184"/>
      <c r="H20" s="268"/>
      <c r="I20" s="269"/>
      <c r="J20" s="270"/>
      <c r="K20" s="268"/>
      <c r="L20" s="268"/>
      <c r="M20" s="365">
        <v>1</v>
      </c>
      <c r="N20" s="363">
        <f t="shared" si="0"/>
        <v>5</v>
      </c>
    </row>
    <row r="21" spans="1:14" x14ac:dyDescent="0.3">
      <c r="A21" s="184">
        <v>80</v>
      </c>
      <c r="B21" s="225" t="s">
        <v>2132</v>
      </c>
      <c r="C21" s="184" t="s">
        <v>2133</v>
      </c>
      <c r="D21" s="362">
        <v>1</v>
      </c>
      <c r="E21" s="184">
        <v>6</v>
      </c>
      <c r="F21" s="184" t="s">
        <v>2034</v>
      </c>
      <c r="G21" s="184"/>
      <c r="H21" s="268"/>
      <c r="I21" s="419"/>
      <c r="J21" s="270"/>
      <c r="K21" s="268"/>
      <c r="L21" s="274"/>
      <c r="M21" s="365">
        <v>1</v>
      </c>
      <c r="N21" s="363">
        <f t="shared" si="0"/>
        <v>6</v>
      </c>
    </row>
    <row r="22" spans="1:14" x14ac:dyDescent="0.3">
      <c r="A22" s="184">
        <v>90</v>
      </c>
      <c r="B22" s="225" t="s">
        <v>2132</v>
      </c>
      <c r="C22" s="184" t="s">
        <v>2133</v>
      </c>
      <c r="D22" s="362">
        <v>1</v>
      </c>
      <c r="E22" s="184">
        <v>7</v>
      </c>
      <c r="F22" s="184" t="s">
        <v>2034</v>
      </c>
      <c r="G22" s="184"/>
      <c r="H22" s="268"/>
      <c r="I22" s="419"/>
      <c r="J22" s="270"/>
      <c r="K22" s="268"/>
      <c r="L22" s="268"/>
      <c r="M22" s="365">
        <v>1</v>
      </c>
      <c r="N22" s="363">
        <f t="shared" si="0"/>
        <v>7</v>
      </c>
    </row>
    <row r="23" spans="1:14" x14ac:dyDescent="0.3">
      <c r="A23" s="184">
        <v>100</v>
      </c>
      <c r="B23" s="225" t="s">
        <v>2132</v>
      </c>
      <c r="C23" s="184" t="s">
        <v>2134</v>
      </c>
      <c r="D23" s="362">
        <v>1</v>
      </c>
      <c r="E23" s="184">
        <v>3</v>
      </c>
      <c r="F23" s="184" t="s">
        <v>2034</v>
      </c>
      <c r="G23" s="184"/>
      <c r="H23" s="268"/>
      <c r="I23" s="419"/>
      <c r="J23" s="270"/>
      <c r="K23" s="268"/>
      <c r="L23" s="268"/>
      <c r="M23" s="365">
        <v>1</v>
      </c>
      <c r="N23" s="363">
        <f t="shared" si="0"/>
        <v>3</v>
      </c>
    </row>
    <row r="24" spans="1:14" x14ac:dyDescent="0.3">
      <c r="A24" s="184">
        <v>110</v>
      </c>
      <c r="B24" s="225" t="s">
        <v>2135</v>
      </c>
      <c r="C24" s="184" t="s">
        <v>2103</v>
      </c>
      <c r="D24" s="362">
        <v>0.5</v>
      </c>
      <c r="E24" s="184">
        <v>3</v>
      </c>
      <c r="F24" s="277" t="s">
        <v>2034</v>
      </c>
      <c r="G24" s="184"/>
      <c r="H24" s="268"/>
      <c r="I24" s="419"/>
      <c r="J24" s="270"/>
      <c r="K24" s="268"/>
      <c r="L24" s="268"/>
      <c r="M24" s="365">
        <v>1</v>
      </c>
      <c r="N24" s="363">
        <f t="shared" si="0"/>
        <v>1.5</v>
      </c>
    </row>
    <row r="25" spans="1:14" x14ac:dyDescent="0.3">
      <c r="A25" s="184">
        <v>120</v>
      </c>
      <c r="B25" s="225" t="s">
        <v>2135</v>
      </c>
      <c r="C25" s="184" t="s">
        <v>1530</v>
      </c>
      <c r="D25" s="362">
        <v>0.5</v>
      </c>
      <c r="E25" s="184">
        <v>3</v>
      </c>
      <c r="F25" s="277" t="s">
        <v>2034</v>
      </c>
      <c r="G25" s="184"/>
      <c r="H25" s="268"/>
      <c r="I25" s="419"/>
      <c r="J25" s="270"/>
      <c r="K25" s="268"/>
      <c r="L25" s="268"/>
      <c r="M25" s="365">
        <v>2</v>
      </c>
      <c r="N25" s="363">
        <f t="shared" si="0"/>
        <v>3</v>
      </c>
    </row>
    <row r="26" spans="1:14" x14ac:dyDescent="0.3">
      <c r="A26" s="184">
        <v>130</v>
      </c>
      <c r="B26" s="184" t="s">
        <v>2026</v>
      </c>
      <c r="C26" s="184" t="s">
        <v>2136</v>
      </c>
      <c r="D26" s="362">
        <v>0.05</v>
      </c>
      <c r="E26" s="184">
        <v>1</v>
      </c>
      <c r="F26" s="277" t="s">
        <v>2028</v>
      </c>
      <c r="G26" s="184"/>
      <c r="H26" s="268"/>
      <c r="I26" s="419"/>
      <c r="J26" s="270"/>
      <c r="K26" s="268"/>
      <c r="L26" s="268"/>
      <c r="M26" s="365">
        <v>12</v>
      </c>
      <c r="N26" s="363">
        <f t="shared" si="0"/>
        <v>0.60000000000000009</v>
      </c>
    </row>
    <row r="27" spans="1:14" x14ac:dyDescent="0.3">
      <c r="A27" s="184">
        <v>140</v>
      </c>
      <c r="B27" s="184" t="s">
        <v>2026</v>
      </c>
      <c r="C27" s="184" t="s">
        <v>2127</v>
      </c>
      <c r="D27" s="362">
        <v>0.05</v>
      </c>
      <c r="E27" s="184">
        <v>1</v>
      </c>
      <c r="F27" s="277" t="s">
        <v>2028</v>
      </c>
      <c r="G27" s="184"/>
      <c r="H27" s="268"/>
      <c r="I27" s="419"/>
      <c r="J27" s="270"/>
      <c r="K27" s="268"/>
      <c r="L27" s="268"/>
      <c r="M27" s="365">
        <v>2</v>
      </c>
      <c r="N27" s="363">
        <f t="shared" si="0"/>
        <v>0.1</v>
      </c>
    </row>
    <row r="28" spans="1:14" x14ac:dyDescent="0.3">
      <c r="A28" s="184">
        <v>150</v>
      </c>
      <c r="B28" s="184" t="s">
        <v>2026</v>
      </c>
      <c r="C28" s="193" t="s">
        <v>2137</v>
      </c>
      <c r="D28" s="362">
        <v>0.05</v>
      </c>
      <c r="E28" s="184">
        <v>1</v>
      </c>
      <c r="F28" s="277" t="s">
        <v>2028</v>
      </c>
      <c r="G28" s="184"/>
      <c r="H28" s="268"/>
      <c r="I28" s="419"/>
      <c r="J28" s="270"/>
      <c r="K28" s="268"/>
      <c r="L28" s="268"/>
      <c r="M28" s="365">
        <v>5</v>
      </c>
      <c r="N28" s="363">
        <f t="shared" si="0"/>
        <v>0.25</v>
      </c>
    </row>
    <row r="29" spans="1:14" x14ac:dyDescent="0.3">
      <c r="A29" s="184">
        <v>160</v>
      </c>
      <c r="B29" s="184" t="s">
        <v>2032</v>
      </c>
      <c r="C29" s="193" t="s">
        <v>2138</v>
      </c>
      <c r="D29" s="362">
        <v>0.25</v>
      </c>
      <c r="E29" s="184">
        <v>2</v>
      </c>
      <c r="F29" s="277" t="s">
        <v>2034</v>
      </c>
      <c r="G29" s="184"/>
      <c r="H29" s="268"/>
      <c r="I29" s="419"/>
      <c r="J29" s="270"/>
      <c r="K29" s="268"/>
      <c r="L29" s="268"/>
      <c r="M29" s="365">
        <v>1</v>
      </c>
      <c r="N29" s="363">
        <f t="shared" si="0"/>
        <v>0.5</v>
      </c>
    </row>
    <row r="30" spans="1:14" x14ac:dyDescent="0.3">
      <c r="A30" s="184">
        <v>170</v>
      </c>
      <c r="B30" s="184" t="s">
        <v>2139</v>
      </c>
      <c r="C30" s="193" t="s">
        <v>2138</v>
      </c>
      <c r="D30" s="362">
        <v>0.5</v>
      </c>
      <c r="E30" s="184">
        <v>1</v>
      </c>
      <c r="F30" s="277" t="s">
        <v>556</v>
      </c>
      <c r="G30" s="184"/>
      <c r="H30" s="268"/>
      <c r="I30" s="419"/>
      <c r="J30" s="270"/>
      <c r="K30" s="268"/>
      <c r="L30" s="268"/>
      <c r="M30" s="365">
        <v>1</v>
      </c>
      <c r="N30" s="363">
        <f t="shared" si="0"/>
        <v>0.5</v>
      </c>
    </row>
    <row r="31" spans="1:14" x14ac:dyDescent="0.3">
      <c r="A31" s="184">
        <v>180</v>
      </c>
      <c r="B31" s="193" t="s">
        <v>2140</v>
      </c>
      <c r="C31" s="193" t="s">
        <v>2141</v>
      </c>
      <c r="D31" s="362">
        <v>2</v>
      </c>
      <c r="E31" s="184">
        <v>1</v>
      </c>
      <c r="F31" s="277" t="s">
        <v>556</v>
      </c>
      <c r="G31" s="184"/>
      <c r="H31" s="268"/>
      <c r="I31" s="419"/>
      <c r="J31" s="270"/>
      <c r="K31" s="268"/>
      <c r="L31" s="268"/>
      <c r="M31" s="365">
        <v>1</v>
      </c>
      <c r="N31" s="363">
        <f t="shared" si="0"/>
        <v>2</v>
      </c>
    </row>
    <row r="32" spans="1:14" x14ac:dyDescent="0.3">
      <c r="A32" s="184">
        <v>190</v>
      </c>
      <c r="B32" s="184" t="s">
        <v>645</v>
      </c>
      <c r="C32" s="193" t="s">
        <v>2142</v>
      </c>
      <c r="D32" s="362">
        <v>0.5</v>
      </c>
      <c r="E32" s="184">
        <v>1.8</v>
      </c>
      <c r="F32" s="277" t="s">
        <v>644</v>
      </c>
      <c r="G32" s="184"/>
      <c r="H32" s="268"/>
      <c r="I32" s="419"/>
      <c r="J32" s="270"/>
      <c r="K32" s="268"/>
      <c r="L32" s="268"/>
      <c r="M32" s="365">
        <v>1</v>
      </c>
      <c r="N32" s="363">
        <f t="shared" si="0"/>
        <v>0.9</v>
      </c>
    </row>
    <row r="33" spans="1:14" x14ac:dyDescent="0.3">
      <c r="A33" s="184">
        <v>200</v>
      </c>
      <c r="B33" s="184" t="s">
        <v>625</v>
      </c>
      <c r="C33" s="184" t="s">
        <v>2082</v>
      </c>
      <c r="D33" s="682">
        <v>10</v>
      </c>
      <c r="E33" s="184">
        <f>2*0.002</f>
        <v>4.0000000000000001E-3</v>
      </c>
      <c r="F33" s="184" t="s">
        <v>627</v>
      </c>
      <c r="G33" s="184"/>
      <c r="H33" s="268"/>
      <c r="I33" s="269"/>
      <c r="J33" s="274"/>
      <c r="K33" s="683"/>
      <c r="L33" s="268"/>
      <c r="M33" s="184">
        <v>1</v>
      </c>
      <c r="N33" s="682">
        <f>D33*E33</f>
        <v>0.04</v>
      </c>
    </row>
    <row r="34" spans="1:14" x14ac:dyDescent="0.3">
      <c r="A34" s="184">
        <v>210</v>
      </c>
      <c r="B34" s="184" t="s">
        <v>2189</v>
      </c>
      <c r="C34" s="184" t="s">
        <v>2190</v>
      </c>
      <c r="D34" s="682">
        <v>4</v>
      </c>
      <c r="E34" s="184"/>
      <c r="F34" s="184"/>
      <c r="G34" s="184"/>
      <c r="H34" s="268"/>
      <c r="I34" s="269"/>
      <c r="J34" s="274"/>
      <c r="K34" s="683"/>
      <c r="L34" s="268"/>
      <c r="M34" s="184">
        <v>1</v>
      </c>
      <c r="N34" s="682">
        <f>D34*M34</f>
        <v>4</v>
      </c>
    </row>
    <row r="35" spans="1:14" s="278" customFormat="1" x14ac:dyDescent="0.3">
      <c r="M35" s="663" t="s">
        <v>547</v>
      </c>
      <c r="N35" s="686">
        <f>SUM(N14:N34)</f>
        <v>63.74</v>
      </c>
    </row>
    <row r="37" spans="1:14" s="278" customFormat="1" x14ac:dyDescent="0.3">
      <c r="A37" s="662" t="s">
        <v>544</v>
      </c>
      <c r="B37" s="662" t="s">
        <v>548</v>
      </c>
      <c r="C37" s="662" t="s">
        <v>549</v>
      </c>
      <c r="D37" s="662" t="s">
        <v>550</v>
      </c>
      <c r="E37" s="662" t="s">
        <v>551</v>
      </c>
      <c r="F37" s="662" t="s">
        <v>28</v>
      </c>
      <c r="G37" s="662" t="s">
        <v>552</v>
      </c>
      <c r="H37" s="662" t="s">
        <v>553</v>
      </c>
      <c r="I37" s="662" t="s">
        <v>547</v>
      </c>
    </row>
    <row r="38" spans="1:14" x14ac:dyDescent="0.3">
      <c r="A38" s="184">
        <v>10</v>
      </c>
      <c r="B38" s="180" t="s">
        <v>650</v>
      </c>
      <c r="C38" s="184" t="s">
        <v>2143</v>
      </c>
      <c r="D38" s="284">
        <v>0.15</v>
      </c>
      <c r="E38" s="180" t="s">
        <v>593</v>
      </c>
      <c r="F38" s="184">
        <v>4</v>
      </c>
      <c r="G38" s="184"/>
      <c r="H38" s="184">
        <v>1</v>
      </c>
      <c r="I38" s="362">
        <f>D38*F38*H38</f>
        <v>0.6</v>
      </c>
    </row>
    <row r="39" spans="1:14" x14ac:dyDescent="0.3">
      <c r="A39" s="184">
        <v>20</v>
      </c>
      <c r="B39" s="180" t="s">
        <v>650</v>
      </c>
      <c r="C39" s="184" t="s">
        <v>2144</v>
      </c>
      <c r="D39" s="284">
        <v>0.15</v>
      </c>
      <c r="E39" s="180" t="s">
        <v>593</v>
      </c>
      <c r="F39" s="184">
        <v>2</v>
      </c>
      <c r="G39" s="184"/>
      <c r="H39" s="184">
        <v>1</v>
      </c>
      <c r="I39" s="362">
        <f t="shared" ref="I39:I64" si="1">D39*F39*H39</f>
        <v>0.3</v>
      </c>
    </row>
    <row r="40" spans="1:14" s="311" customFormat="1" x14ac:dyDescent="0.3">
      <c r="A40" s="184">
        <v>30</v>
      </c>
      <c r="B40" s="684" t="s">
        <v>762</v>
      </c>
      <c r="C40" s="183" t="s">
        <v>1909</v>
      </c>
      <c r="D40" s="284">
        <v>5.25</v>
      </c>
      <c r="E40" s="684" t="s">
        <v>627</v>
      </c>
      <c r="F40" s="183">
        <f>E33</f>
        <v>4.0000000000000001E-3</v>
      </c>
      <c r="G40" s="183"/>
      <c r="H40" s="183">
        <v>1</v>
      </c>
      <c r="I40" s="362">
        <f t="shared" si="1"/>
        <v>2.1000000000000001E-2</v>
      </c>
    </row>
    <row r="41" spans="1:14" x14ac:dyDescent="0.3">
      <c r="A41" s="184">
        <v>40</v>
      </c>
      <c r="B41" s="180" t="s">
        <v>2043</v>
      </c>
      <c r="C41" s="184" t="s">
        <v>2145</v>
      </c>
      <c r="D41" s="284">
        <v>0.08</v>
      </c>
      <c r="E41" s="180" t="s">
        <v>556</v>
      </c>
      <c r="F41" s="184">
        <v>45</v>
      </c>
      <c r="G41" s="184"/>
      <c r="H41" s="184">
        <v>1</v>
      </c>
      <c r="I41" s="362">
        <f>D41*F41*H41</f>
        <v>3.6</v>
      </c>
    </row>
    <row r="42" spans="1:14" x14ac:dyDescent="0.3">
      <c r="A42" s="184">
        <v>50</v>
      </c>
      <c r="B42" s="184" t="s">
        <v>2045</v>
      </c>
      <c r="C42" s="184" t="s">
        <v>2046</v>
      </c>
      <c r="D42" s="284">
        <v>0.08</v>
      </c>
      <c r="E42" s="184" t="s">
        <v>556</v>
      </c>
      <c r="F42" s="184">
        <f>F41*2</f>
        <v>90</v>
      </c>
      <c r="G42" s="184"/>
      <c r="H42" s="184">
        <v>1</v>
      </c>
      <c r="I42" s="362">
        <f t="shared" si="1"/>
        <v>7.2</v>
      </c>
    </row>
    <row r="43" spans="1:14" x14ac:dyDescent="0.3">
      <c r="A43" s="184">
        <v>60</v>
      </c>
      <c r="B43" s="180" t="s">
        <v>2047</v>
      </c>
      <c r="C43" s="184" t="s">
        <v>2146</v>
      </c>
      <c r="D43" s="284">
        <v>0.17</v>
      </c>
      <c r="E43" s="184" t="s">
        <v>556</v>
      </c>
      <c r="F43" s="184">
        <v>14</v>
      </c>
      <c r="G43" s="184"/>
      <c r="H43" s="184">
        <v>1</v>
      </c>
      <c r="I43" s="362">
        <f t="shared" si="1"/>
        <v>2.3800000000000003</v>
      </c>
    </row>
    <row r="44" spans="1:14" x14ac:dyDescent="0.3">
      <c r="A44" s="184">
        <v>70</v>
      </c>
      <c r="B44" s="180" t="s">
        <v>2047</v>
      </c>
      <c r="C44" s="184" t="s">
        <v>2147</v>
      </c>
      <c r="D44" s="284">
        <v>0.17</v>
      </c>
      <c r="E44" s="184" t="s">
        <v>556</v>
      </c>
      <c r="F44" s="184">
        <v>5</v>
      </c>
      <c r="G44" s="184"/>
      <c r="H44" s="184">
        <v>1</v>
      </c>
      <c r="I44" s="362">
        <f t="shared" si="1"/>
        <v>0.85000000000000009</v>
      </c>
    </row>
    <row r="45" spans="1:14" x14ac:dyDescent="0.3">
      <c r="A45" s="184">
        <v>80</v>
      </c>
      <c r="B45" s="180" t="s">
        <v>2148</v>
      </c>
      <c r="C45" s="184" t="s">
        <v>2146</v>
      </c>
      <c r="D45" s="284">
        <v>0.1</v>
      </c>
      <c r="E45" s="180" t="s">
        <v>556</v>
      </c>
      <c r="F45" s="184">
        <v>14</v>
      </c>
      <c r="G45" s="184"/>
      <c r="H45" s="184">
        <v>1</v>
      </c>
      <c r="I45" s="362">
        <f t="shared" si="1"/>
        <v>1.4000000000000001</v>
      </c>
    </row>
    <row r="46" spans="1:14" x14ac:dyDescent="0.3">
      <c r="A46" s="184">
        <v>90</v>
      </c>
      <c r="B46" s="180" t="s">
        <v>2051</v>
      </c>
      <c r="C46" s="184" t="s">
        <v>2147</v>
      </c>
      <c r="D46" s="284">
        <v>0.48</v>
      </c>
      <c r="E46" s="180" t="s">
        <v>556</v>
      </c>
      <c r="F46" s="184">
        <v>5</v>
      </c>
      <c r="G46" s="184"/>
      <c r="H46" s="184">
        <v>1</v>
      </c>
      <c r="I46" s="362">
        <f t="shared" si="1"/>
        <v>2.4</v>
      </c>
    </row>
    <row r="47" spans="1:14" x14ac:dyDescent="0.3">
      <c r="A47" s="184">
        <v>100</v>
      </c>
      <c r="B47" s="184" t="s">
        <v>659</v>
      </c>
      <c r="C47" s="184" t="s">
        <v>2149</v>
      </c>
      <c r="D47" s="284">
        <v>0.5</v>
      </c>
      <c r="E47" s="180" t="s">
        <v>556</v>
      </c>
      <c r="F47" s="184">
        <v>1</v>
      </c>
      <c r="G47" s="184"/>
      <c r="H47" s="184">
        <v>1</v>
      </c>
      <c r="I47" s="362">
        <f t="shared" si="1"/>
        <v>0.5</v>
      </c>
    </row>
    <row r="48" spans="1:14" x14ac:dyDescent="0.3">
      <c r="A48" s="184">
        <v>110</v>
      </c>
      <c r="B48" s="184" t="s">
        <v>2041</v>
      </c>
      <c r="C48" s="184" t="s">
        <v>2150</v>
      </c>
      <c r="D48" s="284">
        <v>0.25</v>
      </c>
      <c r="E48" s="180" t="s">
        <v>556</v>
      </c>
      <c r="F48" s="184">
        <v>1</v>
      </c>
      <c r="G48" s="184"/>
      <c r="H48" s="184">
        <v>1</v>
      </c>
      <c r="I48" s="362">
        <f t="shared" si="1"/>
        <v>0.25</v>
      </c>
    </row>
    <row r="49" spans="1:9" x14ac:dyDescent="0.3">
      <c r="A49" s="184">
        <v>120</v>
      </c>
      <c r="B49" s="184" t="s">
        <v>659</v>
      </c>
      <c r="C49" s="184" t="s">
        <v>2151</v>
      </c>
      <c r="D49" s="284">
        <v>0.5</v>
      </c>
      <c r="E49" s="180" t="s">
        <v>556</v>
      </c>
      <c r="F49" s="184">
        <v>1</v>
      </c>
      <c r="G49" s="184"/>
      <c r="H49" s="184">
        <v>1</v>
      </c>
      <c r="I49" s="362">
        <f t="shared" si="1"/>
        <v>0.5</v>
      </c>
    </row>
    <row r="50" spans="1:9" x14ac:dyDescent="0.3">
      <c r="A50" s="184">
        <v>130</v>
      </c>
      <c r="B50" s="180" t="s">
        <v>2152</v>
      </c>
      <c r="C50" s="193" t="s">
        <v>2153</v>
      </c>
      <c r="D50" s="284">
        <v>0.36</v>
      </c>
      <c r="E50" s="184" t="s">
        <v>2154</v>
      </c>
      <c r="F50" s="184">
        <v>2</v>
      </c>
      <c r="G50" s="184" t="s">
        <v>2155</v>
      </c>
      <c r="H50" s="184">
        <v>2</v>
      </c>
      <c r="I50" s="362">
        <f t="shared" si="1"/>
        <v>1.44</v>
      </c>
    </row>
    <row r="51" spans="1:9" x14ac:dyDescent="0.3">
      <c r="A51" s="184">
        <v>140</v>
      </c>
      <c r="B51" s="180" t="s">
        <v>2156</v>
      </c>
      <c r="C51" s="193" t="s">
        <v>2157</v>
      </c>
      <c r="D51" s="284">
        <v>0.52</v>
      </c>
      <c r="E51" s="184" t="s">
        <v>556</v>
      </c>
      <c r="F51" s="184">
        <v>2</v>
      </c>
      <c r="G51" s="184"/>
      <c r="H51" s="184">
        <v>1</v>
      </c>
      <c r="I51" s="362">
        <f t="shared" si="1"/>
        <v>1.04</v>
      </c>
    </row>
    <row r="52" spans="1:9" x14ac:dyDescent="0.3">
      <c r="A52" s="184">
        <v>150</v>
      </c>
      <c r="B52" s="180" t="s">
        <v>2158</v>
      </c>
      <c r="C52" s="193" t="s">
        <v>2159</v>
      </c>
      <c r="D52" s="284">
        <v>0.17</v>
      </c>
      <c r="E52" s="180" t="s">
        <v>556</v>
      </c>
      <c r="F52" s="184">
        <v>1</v>
      </c>
      <c r="G52" s="184"/>
      <c r="H52" s="184">
        <v>1</v>
      </c>
      <c r="I52" s="362">
        <f t="shared" si="1"/>
        <v>0.17</v>
      </c>
    </row>
    <row r="53" spans="1:9" x14ac:dyDescent="0.3">
      <c r="A53" s="184">
        <v>160</v>
      </c>
      <c r="B53" s="180" t="s">
        <v>2152</v>
      </c>
      <c r="C53" s="193" t="s">
        <v>2160</v>
      </c>
      <c r="D53" s="284">
        <v>0.36</v>
      </c>
      <c r="E53" s="184" t="s">
        <v>2154</v>
      </c>
      <c r="F53" s="184">
        <v>3</v>
      </c>
      <c r="G53" s="184"/>
      <c r="H53" s="184">
        <v>1</v>
      </c>
      <c r="I53" s="362">
        <f t="shared" si="1"/>
        <v>1.08</v>
      </c>
    </row>
    <row r="54" spans="1:9" x14ac:dyDescent="0.3">
      <c r="A54" s="184">
        <v>170</v>
      </c>
      <c r="B54" s="180" t="s">
        <v>2158</v>
      </c>
      <c r="C54" s="193" t="s">
        <v>2161</v>
      </c>
      <c r="D54" s="284">
        <v>0.17</v>
      </c>
      <c r="E54" s="180" t="s">
        <v>556</v>
      </c>
      <c r="F54" s="184">
        <v>1</v>
      </c>
      <c r="G54" s="184"/>
      <c r="H54" s="184">
        <v>1</v>
      </c>
      <c r="I54" s="362">
        <f t="shared" si="1"/>
        <v>0.17</v>
      </c>
    </row>
    <row r="55" spans="1:9" x14ac:dyDescent="0.3">
      <c r="A55" s="184">
        <v>180</v>
      </c>
      <c r="B55" s="184" t="s">
        <v>2162</v>
      </c>
      <c r="C55" s="193" t="s">
        <v>2163</v>
      </c>
      <c r="D55" s="284">
        <v>0.24</v>
      </c>
      <c r="E55" s="180" t="s">
        <v>2154</v>
      </c>
      <c r="F55" s="184">
        <v>18</v>
      </c>
      <c r="G55" s="184"/>
      <c r="H55" s="184">
        <v>1</v>
      </c>
      <c r="I55" s="362">
        <f t="shared" si="1"/>
        <v>4.32</v>
      </c>
    </row>
    <row r="56" spans="1:9" x14ac:dyDescent="0.3">
      <c r="A56" s="184">
        <v>190</v>
      </c>
      <c r="B56" s="180" t="s">
        <v>2164</v>
      </c>
      <c r="C56" s="193" t="s">
        <v>2165</v>
      </c>
      <c r="D56" s="284">
        <v>0.24</v>
      </c>
      <c r="E56" s="180" t="s">
        <v>556</v>
      </c>
      <c r="F56" s="184">
        <v>3</v>
      </c>
      <c r="G56" s="184"/>
      <c r="H56" s="184">
        <v>1</v>
      </c>
      <c r="I56" s="362">
        <f t="shared" si="1"/>
        <v>0.72</v>
      </c>
    </row>
    <row r="57" spans="1:9" x14ac:dyDescent="0.3">
      <c r="A57" s="184">
        <v>200</v>
      </c>
      <c r="B57" s="184" t="s">
        <v>2162</v>
      </c>
      <c r="C57" s="193" t="s">
        <v>2166</v>
      </c>
      <c r="D57" s="284">
        <v>0.24</v>
      </c>
      <c r="E57" s="180" t="s">
        <v>2154</v>
      </c>
      <c r="F57" s="184">
        <v>3</v>
      </c>
      <c r="G57" s="184"/>
      <c r="H57" s="184">
        <v>1</v>
      </c>
      <c r="I57" s="362">
        <f t="shared" si="1"/>
        <v>0.72</v>
      </c>
    </row>
    <row r="58" spans="1:9" x14ac:dyDescent="0.3">
      <c r="A58" s="184">
        <v>210</v>
      </c>
      <c r="B58" s="180" t="s">
        <v>2167</v>
      </c>
      <c r="C58" s="193" t="s">
        <v>2134</v>
      </c>
      <c r="D58" s="284">
        <v>0.14000000000000001</v>
      </c>
      <c r="E58" s="180" t="s">
        <v>556</v>
      </c>
      <c r="F58" s="184">
        <v>1</v>
      </c>
      <c r="G58" s="184"/>
      <c r="H58" s="184">
        <v>1</v>
      </c>
      <c r="I58" s="362">
        <f t="shared" si="1"/>
        <v>0.14000000000000001</v>
      </c>
    </row>
    <row r="59" spans="1:9" x14ac:dyDescent="0.3">
      <c r="A59" s="184">
        <v>220</v>
      </c>
      <c r="B59" s="180" t="s">
        <v>2168</v>
      </c>
      <c r="C59" s="193" t="s">
        <v>2169</v>
      </c>
      <c r="D59" s="284">
        <v>0.52</v>
      </c>
      <c r="E59" s="180" t="s">
        <v>556</v>
      </c>
      <c r="F59" s="184">
        <v>21</v>
      </c>
      <c r="G59" s="184"/>
      <c r="H59" s="184">
        <v>1</v>
      </c>
      <c r="I59" s="362">
        <f t="shared" si="1"/>
        <v>10.92</v>
      </c>
    </row>
    <row r="60" spans="1:9" customFormat="1" x14ac:dyDescent="0.3">
      <c r="A60" s="184">
        <v>230</v>
      </c>
      <c r="B60" s="286" t="s">
        <v>2170</v>
      </c>
      <c r="C60" s="171" t="s">
        <v>2171</v>
      </c>
      <c r="D60" s="284">
        <v>0.06</v>
      </c>
      <c r="E60" s="179" t="s">
        <v>593</v>
      </c>
      <c r="F60" s="168">
        <v>1</v>
      </c>
      <c r="G60" s="184" t="s">
        <v>2172</v>
      </c>
      <c r="H60" s="168">
        <v>44</v>
      </c>
      <c r="I60" s="362">
        <f>D60*F60*H60</f>
        <v>2.6399999999999997</v>
      </c>
    </row>
    <row r="61" spans="1:9" x14ac:dyDescent="0.3">
      <c r="A61" s="184">
        <v>240</v>
      </c>
      <c r="B61" s="180" t="s">
        <v>677</v>
      </c>
      <c r="C61" s="193" t="s">
        <v>2173</v>
      </c>
      <c r="D61" s="284">
        <v>0.15</v>
      </c>
      <c r="E61" s="180" t="s">
        <v>593</v>
      </c>
      <c r="F61" s="184">
        <v>180</v>
      </c>
      <c r="G61" s="184"/>
      <c r="H61" s="184">
        <v>1</v>
      </c>
      <c r="I61" s="362">
        <f t="shared" si="1"/>
        <v>27</v>
      </c>
    </row>
    <row r="62" spans="1:9" x14ac:dyDescent="0.3">
      <c r="A62" s="184">
        <v>250</v>
      </c>
      <c r="B62" s="180" t="s">
        <v>2049</v>
      </c>
      <c r="C62" s="193" t="s">
        <v>2174</v>
      </c>
      <c r="D62" s="284">
        <v>1</v>
      </c>
      <c r="E62" s="180" t="s">
        <v>644</v>
      </c>
      <c r="F62" s="184">
        <v>3.1</v>
      </c>
      <c r="G62" s="184"/>
      <c r="H62" s="184">
        <v>1</v>
      </c>
      <c r="I62" s="362">
        <f t="shared" si="1"/>
        <v>3.1</v>
      </c>
    </row>
    <row r="63" spans="1:9" x14ac:dyDescent="0.3">
      <c r="A63" s="184">
        <v>260</v>
      </c>
      <c r="B63" s="180" t="s">
        <v>2175</v>
      </c>
      <c r="C63" s="193" t="s">
        <v>2174</v>
      </c>
      <c r="D63" s="284">
        <v>0.02</v>
      </c>
      <c r="E63" s="180" t="s">
        <v>644</v>
      </c>
      <c r="F63" s="184">
        <v>3</v>
      </c>
      <c r="G63" s="184"/>
      <c r="H63" s="184">
        <v>1</v>
      </c>
      <c r="I63" s="362">
        <f t="shared" si="1"/>
        <v>0.06</v>
      </c>
    </row>
    <row r="64" spans="1:9" x14ac:dyDescent="0.3">
      <c r="A64" s="184">
        <v>270</v>
      </c>
      <c r="B64" s="180" t="s">
        <v>2176</v>
      </c>
      <c r="C64" s="193" t="s">
        <v>2174</v>
      </c>
      <c r="D64" s="284">
        <v>0.09</v>
      </c>
      <c r="E64" s="180" t="s">
        <v>556</v>
      </c>
      <c r="F64" s="184">
        <v>12</v>
      </c>
      <c r="G64" s="184"/>
      <c r="H64" s="184">
        <v>1</v>
      </c>
      <c r="I64" s="362">
        <f t="shared" si="1"/>
        <v>1.08</v>
      </c>
    </row>
    <row r="65" spans="1:10" x14ac:dyDescent="0.3">
      <c r="A65" s="184">
        <v>280</v>
      </c>
      <c r="B65" s="180" t="s">
        <v>749</v>
      </c>
      <c r="C65" s="193" t="s">
        <v>2191</v>
      </c>
      <c r="D65" s="284">
        <v>0.13</v>
      </c>
      <c r="E65" s="180" t="s">
        <v>556</v>
      </c>
      <c r="F65" s="184"/>
      <c r="G65" s="184"/>
      <c r="H65" s="184">
        <v>1</v>
      </c>
      <c r="I65" s="362">
        <f>D65*H65</f>
        <v>0.13</v>
      </c>
    </row>
    <row r="66" spans="1:10" x14ac:dyDescent="0.3">
      <c r="A66" s="184">
        <v>290</v>
      </c>
      <c r="B66" s="180" t="s">
        <v>749</v>
      </c>
      <c r="C66" s="193" t="s">
        <v>2192</v>
      </c>
      <c r="D66" s="284">
        <v>0.13</v>
      </c>
      <c r="E66" s="180" t="s">
        <v>556</v>
      </c>
      <c r="F66" s="184"/>
      <c r="G66" s="184"/>
      <c r="H66" s="184">
        <v>1</v>
      </c>
      <c r="I66" s="362">
        <f>D66*H66</f>
        <v>0.13</v>
      </c>
    </row>
    <row r="67" spans="1:10" s="278" customFormat="1" x14ac:dyDescent="0.3">
      <c r="B67" s="248"/>
      <c r="H67" s="685" t="s">
        <v>547</v>
      </c>
      <c r="I67" s="686">
        <f>SUM(I38:I66)</f>
        <v>74.86099999999999</v>
      </c>
    </row>
    <row r="69" spans="1:10" s="278" customFormat="1" x14ac:dyDescent="0.3">
      <c r="A69" s="662" t="s">
        <v>544</v>
      </c>
      <c r="B69" s="662" t="s">
        <v>566</v>
      </c>
      <c r="C69" s="662" t="s">
        <v>549</v>
      </c>
      <c r="D69" s="662" t="s">
        <v>550</v>
      </c>
      <c r="E69" s="662" t="s">
        <v>567</v>
      </c>
      <c r="F69" s="662" t="s">
        <v>568</v>
      </c>
      <c r="G69" s="662" t="s">
        <v>569</v>
      </c>
      <c r="H69" s="662" t="s">
        <v>570</v>
      </c>
      <c r="I69" s="662" t="s">
        <v>28</v>
      </c>
      <c r="J69" s="662" t="s">
        <v>547</v>
      </c>
    </row>
    <row r="70" spans="1:10" x14ac:dyDescent="0.3">
      <c r="A70" s="184">
        <v>10</v>
      </c>
      <c r="B70" s="184" t="s">
        <v>684</v>
      </c>
      <c r="C70" s="184" t="s">
        <v>2177</v>
      </c>
      <c r="D70" s="284">
        <v>0.04</v>
      </c>
      <c r="E70" s="184">
        <v>6</v>
      </c>
      <c r="F70" s="606" t="s">
        <v>573</v>
      </c>
      <c r="G70" s="184">
        <v>16</v>
      </c>
      <c r="H70" s="193" t="s">
        <v>573</v>
      </c>
      <c r="I70" s="607">
        <v>2</v>
      </c>
      <c r="J70" s="362">
        <f>D70*I70</f>
        <v>0.08</v>
      </c>
    </row>
    <row r="71" spans="1:10" x14ac:dyDescent="0.3">
      <c r="A71" s="184">
        <v>20</v>
      </c>
      <c r="B71" s="290" t="s">
        <v>618</v>
      </c>
      <c r="C71" s="184" t="s">
        <v>2178</v>
      </c>
      <c r="D71" s="362">
        <v>0.03</v>
      </c>
      <c r="E71" s="184">
        <v>6</v>
      </c>
      <c r="F71" s="606" t="s">
        <v>573</v>
      </c>
      <c r="G71" s="184"/>
      <c r="H71" s="193"/>
      <c r="I71" s="607">
        <v>1</v>
      </c>
      <c r="J71" s="362">
        <f>D71*I71</f>
        <v>0.03</v>
      </c>
    </row>
    <row r="72" spans="1:10" x14ac:dyDescent="0.3">
      <c r="A72" s="184">
        <v>30</v>
      </c>
      <c r="B72" s="290" t="s">
        <v>618</v>
      </c>
      <c r="C72" s="184" t="s">
        <v>2179</v>
      </c>
      <c r="D72" s="309">
        <v>0.03</v>
      </c>
      <c r="E72" s="184">
        <v>6</v>
      </c>
      <c r="F72" s="606" t="s">
        <v>573</v>
      </c>
      <c r="G72" s="184"/>
      <c r="H72" s="193"/>
      <c r="I72" s="607">
        <v>1</v>
      </c>
      <c r="J72" s="362">
        <f>D72*I72</f>
        <v>0.03</v>
      </c>
    </row>
    <row r="73" spans="1:10" x14ac:dyDescent="0.3">
      <c r="A73" s="184">
        <v>40</v>
      </c>
      <c r="B73" s="290" t="s">
        <v>574</v>
      </c>
      <c r="C73" s="184" t="s">
        <v>2177</v>
      </c>
      <c r="D73" s="284">
        <v>0.01</v>
      </c>
      <c r="E73" s="184">
        <v>6</v>
      </c>
      <c r="F73" s="606" t="s">
        <v>573</v>
      </c>
      <c r="G73" s="184"/>
      <c r="H73" s="193"/>
      <c r="I73" s="607">
        <v>4</v>
      </c>
      <c r="J73" s="362">
        <f>D73*I73</f>
        <v>0.04</v>
      </c>
    </row>
    <row r="74" spans="1:10" x14ac:dyDescent="0.3">
      <c r="A74" s="184">
        <v>50</v>
      </c>
      <c r="B74" s="225" t="s">
        <v>689</v>
      </c>
      <c r="C74" s="184" t="s">
        <v>2180</v>
      </c>
      <c r="D74" s="309">
        <v>0.04</v>
      </c>
      <c r="E74" s="184"/>
      <c r="F74" s="606"/>
      <c r="G74" s="184"/>
      <c r="H74" s="193"/>
      <c r="I74" s="607">
        <v>12</v>
      </c>
      <c r="J74" s="362">
        <f>D74*I74</f>
        <v>0.48</v>
      </c>
    </row>
    <row r="75" spans="1:10" s="278" customFormat="1" x14ac:dyDescent="0.3">
      <c r="I75" s="663" t="s">
        <v>547</v>
      </c>
      <c r="J75" s="686">
        <f>SUM(J70:J74)</f>
        <v>0.66</v>
      </c>
    </row>
    <row r="76" spans="1:10" x14ac:dyDescent="0.3">
      <c r="H76" s="292"/>
      <c r="I76" s="293"/>
    </row>
    <row r="77" spans="1:10" s="278" customFormat="1" x14ac:dyDescent="0.3">
      <c r="A77" s="662" t="s">
        <v>544</v>
      </c>
      <c r="B77" s="662" t="s">
        <v>6</v>
      </c>
      <c r="C77" s="662" t="s">
        <v>549</v>
      </c>
      <c r="D77" s="662" t="s">
        <v>550</v>
      </c>
      <c r="E77" s="662" t="s">
        <v>551</v>
      </c>
      <c r="F77" s="662" t="s">
        <v>28</v>
      </c>
      <c r="G77" s="662" t="s">
        <v>691</v>
      </c>
      <c r="H77" s="662" t="s">
        <v>736</v>
      </c>
      <c r="I77" s="662" t="s">
        <v>547</v>
      </c>
    </row>
    <row r="78" spans="1:10" x14ac:dyDescent="0.3">
      <c r="A78" s="184">
        <v>10</v>
      </c>
      <c r="B78" s="272" t="s">
        <v>693</v>
      </c>
      <c r="C78" s="184" t="s">
        <v>2181</v>
      </c>
      <c r="D78" s="362">
        <v>500</v>
      </c>
      <c r="E78" s="184" t="s">
        <v>695</v>
      </c>
      <c r="F78" s="184">
        <v>12</v>
      </c>
      <c r="G78" s="184">
        <v>3000</v>
      </c>
      <c r="H78" s="184">
        <v>1</v>
      </c>
      <c r="I78" s="363">
        <f>D78*F78/G78*H78</f>
        <v>2</v>
      </c>
    </row>
    <row r="79" spans="1:10" s="278" customFormat="1" x14ac:dyDescent="0.3">
      <c r="H79" s="663" t="s">
        <v>547</v>
      </c>
      <c r="I79" s="686">
        <f>SUM(I78:I78)</f>
        <v>2</v>
      </c>
    </row>
    <row r="81" spans="2:2" x14ac:dyDescent="0.3">
      <c r="B81" s="687"/>
    </row>
  </sheetData>
  <pageMargins left="0.5" right="0.5" top="0.75" bottom="0.75" header="0.3" footer="0.3"/>
  <pageSetup paperSize="9" scale="40" orientation="landscape" r:id="rId1"/>
</worksheet>
</file>

<file path=xl/worksheets/sheet2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3.44140625" style="161" customWidth="1"/>
    <col min="3" max="3" width="23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4" style="161" customWidth="1"/>
    <col min="8" max="8" width="10.44140625" style="161" customWidth="1"/>
    <col min="9" max="9" width="19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N11+I16</f>
        <v>1.137254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2</v>
      </c>
    </row>
    <row r="3" spans="1:14" x14ac:dyDescent="0.3">
      <c r="A3" s="666" t="s">
        <v>534</v>
      </c>
      <c r="B3" s="161" t="s">
        <v>2122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2123</v>
      </c>
      <c r="D4" s="666" t="s">
        <v>541</v>
      </c>
      <c r="J4" s="666" t="s">
        <v>538</v>
      </c>
      <c r="M4" s="666" t="s">
        <v>539</v>
      </c>
      <c r="N4" s="336">
        <f>N1*N2</f>
        <v>2.274508</v>
      </c>
    </row>
    <row r="5" spans="1:14" x14ac:dyDescent="0.3">
      <c r="A5" s="666" t="s">
        <v>537</v>
      </c>
      <c r="B5" s="199" t="s">
        <v>301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  <c r="B7" s="161" t="s">
        <v>2101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68">
        <v>10</v>
      </c>
      <c r="B10" s="168" t="s">
        <v>697</v>
      </c>
      <c r="C10" s="168" t="s">
        <v>2182</v>
      </c>
      <c r="D10" s="302">
        <v>2.25</v>
      </c>
      <c r="E10" s="168">
        <v>40</v>
      </c>
      <c r="F10" s="168" t="s">
        <v>573</v>
      </c>
      <c r="G10" s="168">
        <v>40</v>
      </c>
      <c r="H10" s="219" t="s">
        <v>573</v>
      </c>
      <c r="I10" s="269" t="s">
        <v>2183</v>
      </c>
      <c r="J10" s="228">
        <f>E10*G10/1000000</f>
        <v>1.6000000000000001E-3</v>
      </c>
      <c r="K10" s="228">
        <v>1.5E-3</v>
      </c>
      <c r="L10" s="219">
        <v>8010</v>
      </c>
      <c r="M10" s="339">
        <v>1</v>
      </c>
      <c r="N10" s="322">
        <f>IF(J10="",D10*M10,D10*J10*K10*L10*M10)</f>
        <v>4.3254000000000008E-2</v>
      </c>
    </row>
    <row r="11" spans="1:14" s="178" customFormat="1" x14ac:dyDescent="0.3">
      <c r="M11" s="669" t="s">
        <v>547</v>
      </c>
      <c r="N11" s="670">
        <f>SUM(N10:N10)</f>
        <v>4.3254000000000008E-2</v>
      </c>
    </row>
    <row r="13" spans="1:14" s="178" customFormat="1" x14ac:dyDescent="0.3">
      <c r="A13" s="668" t="s">
        <v>544</v>
      </c>
      <c r="B13" s="668" t="s">
        <v>548</v>
      </c>
      <c r="C13" s="668" t="s">
        <v>549</v>
      </c>
      <c r="D13" s="668" t="s">
        <v>550</v>
      </c>
      <c r="E13" s="668" t="s">
        <v>551</v>
      </c>
      <c r="F13" s="668" t="s">
        <v>28</v>
      </c>
      <c r="G13" s="668" t="s">
        <v>552</v>
      </c>
      <c r="H13" s="668" t="s">
        <v>553</v>
      </c>
      <c r="I13" s="668" t="s">
        <v>547</v>
      </c>
    </row>
    <row r="14" spans="1:14" ht="28.8" x14ac:dyDescent="0.3">
      <c r="A14" s="168">
        <v>10</v>
      </c>
      <c r="B14" s="180" t="s">
        <v>589</v>
      </c>
      <c r="C14" s="184" t="s">
        <v>699</v>
      </c>
      <c r="D14" s="323">
        <v>1.3</v>
      </c>
      <c r="E14" s="168" t="s">
        <v>556</v>
      </c>
      <c r="F14" s="168">
        <v>1</v>
      </c>
      <c r="G14" s="184" t="s">
        <v>2184</v>
      </c>
      <c r="H14" s="168">
        <v>0.5</v>
      </c>
      <c r="I14" s="323">
        <f>D14*F14*H14</f>
        <v>0.65</v>
      </c>
    </row>
    <row r="15" spans="1:14" x14ac:dyDescent="0.3">
      <c r="A15" s="168">
        <v>20</v>
      </c>
      <c r="B15" s="171" t="s">
        <v>700</v>
      </c>
      <c r="C15" s="171" t="s">
        <v>592</v>
      </c>
      <c r="D15" s="323">
        <v>0.01</v>
      </c>
      <c r="E15" s="168" t="s">
        <v>593</v>
      </c>
      <c r="F15" s="168">
        <v>14.8</v>
      </c>
      <c r="G15" s="168" t="s">
        <v>598</v>
      </c>
      <c r="H15" s="168">
        <v>3</v>
      </c>
      <c r="I15" s="323">
        <f>IF('EL 03001'!$H15&lt;&gt;"",'EL 03001'!$D15*'EL 03001'!$F15*'EL 03001'!$H15,'EL 03001'!$D15*'EL 03001'!$F15)</f>
        <v>0.44400000000000006</v>
      </c>
    </row>
    <row r="16" spans="1:14" s="178" customFormat="1" x14ac:dyDescent="0.3">
      <c r="H16" s="669" t="s">
        <v>547</v>
      </c>
      <c r="I16" s="670">
        <f>SUM(I14:I15)</f>
        <v>1.0940000000000001</v>
      </c>
    </row>
  </sheetData>
  <pageMargins left="0.5" right="0.5" top="0.75" bottom="0.75" header="0.3" footer="0.3"/>
  <pageSetup scale="57" fitToHeight="0" orientation="landscape" r:id="rId1"/>
</worksheet>
</file>

<file path=xl/worksheets/sheet2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3.44140625" style="161" customWidth="1"/>
    <col min="3" max="3" width="23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4" style="161" customWidth="1"/>
    <col min="8" max="8" width="10.44140625" style="161" customWidth="1"/>
    <col min="9" max="9" width="19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N11+I17</f>
        <v>2.3521350000000001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1</v>
      </c>
    </row>
    <row r="3" spans="1:14" x14ac:dyDescent="0.3">
      <c r="A3" s="666" t="s">
        <v>534</v>
      </c>
      <c r="B3" s="161" t="s">
        <v>2122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2186</v>
      </c>
      <c r="D4" s="666" t="s">
        <v>541</v>
      </c>
      <c r="J4" s="666" t="s">
        <v>538</v>
      </c>
      <c r="M4" s="666" t="s">
        <v>539</v>
      </c>
      <c r="N4" s="336">
        <f>N1*N2</f>
        <v>2.3521350000000001</v>
      </c>
    </row>
    <row r="5" spans="1:14" x14ac:dyDescent="0.3">
      <c r="A5" s="666" t="s">
        <v>537</v>
      </c>
      <c r="B5" s="199" t="s">
        <v>2185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  <c r="B7" s="161" t="s">
        <v>2187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68">
        <v>10</v>
      </c>
      <c r="B10" s="168" t="s">
        <v>697</v>
      </c>
      <c r="C10" s="168" t="s">
        <v>2182</v>
      </c>
      <c r="D10" s="302">
        <v>2.25</v>
      </c>
      <c r="E10" s="168">
        <v>100</v>
      </c>
      <c r="F10" s="168" t="s">
        <v>573</v>
      </c>
      <c r="G10" s="168">
        <v>40</v>
      </c>
      <c r="H10" s="219" t="s">
        <v>573</v>
      </c>
      <c r="I10" s="269" t="s">
        <v>2188</v>
      </c>
      <c r="J10" s="228">
        <f>E10*G10/1000000</f>
        <v>4.0000000000000001E-3</v>
      </c>
      <c r="K10" s="228">
        <v>1.5E-3</v>
      </c>
      <c r="L10" s="219">
        <v>8010</v>
      </c>
      <c r="M10" s="339">
        <v>1</v>
      </c>
      <c r="N10" s="322">
        <f>IF(J10="",D10*M10,D10*J10*K10*L10*M10)</f>
        <v>0.10813500000000001</v>
      </c>
    </row>
    <row r="11" spans="1:14" s="178" customFormat="1" x14ac:dyDescent="0.3">
      <c r="M11" s="669" t="s">
        <v>547</v>
      </c>
      <c r="N11" s="670">
        <f>SUM(N10:N10)</f>
        <v>0.10813500000000001</v>
      </c>
    </row>
    <row r="13" spans="1:14" s="178" customFormat="1" x14ac:dyDescent="0.3">
      <c r="A13" s="668" t="s">
        <v>544</v>
      </c>
      <c r="B13" s="668" t="s">
        <v>548</v>
      </c>
      <c r="C13" s="668" t="s">
        <v>549</v>
      </c>
      <c r="D13" s="668" t="s">
        <v>550</v>
      </c>
      <c r="E13" s="668" t="s">
        <v>551</v>
      </c>
      <c r="F13" s="668" t="s">
        <v>28</v>
      </c>
      <c r="G13" s="668" t="s">
        <v>552</v>
      </c>
      <c r="H13" s="668" t="s">
        <v>553</v>
      </c>
      <c r="I13" s="668" t="s">
        <v>547</v>
      </c>
    </row>
    <row r="14" spans="1:14" ht="28.8" x14ac:dyDescent="0.3">
      <c r="A14" s="168">
        <v>10</v>
      </c>
      <c r="B14" s="180" t="s">
        <v>589</v>
      </c>
      <c r="C14" s="184" t="s">
        <v>699</v>
      </c>
      <c r="D14" s="323">
        <v>1.3</v>
      </c>
      <c r="E14" s="168" t="s">
        <v>556</v>
      </c>
      <c r="F14" s="168">
        <v>1</v>
      </c>
      <c r="G14" s="184"/>
      <c r="H14" s="168">
        <v>1</v>
      </c>
      <c r="I14" s="323">
        <f>D14*F14*H14</f>
        <v>1.3</v>
      </c>
    </row>
    <row r="15" spans="1:14" x14ac:dyDescent="0.3">
      <c r="A15" s="168">
        <v>20</v>
      </c>
      <c r="B15" s="171" t="s">
        <v>700</v>
      </c>
      <c r="C15" s="171" t="s">
        <v>592</v>
      </c>
      <c r="D15" s="323">
        <v>0.01</v>
      </c>
      <c r="E15" s="168" t="s">
        <v>593</v>
      </c>
      <c r="F15" s="168">
        <v>14.8</v>
      </c>
      <c r="G15" s="168" t="s">
        <v>598</v>
      </c>
      <c r="H15" s="168">
        <v>3</v>
      </c>
      <c r="I15" s="323">
        <f>IF('EL 03002'!$H15&lt;&gt;"",'EL 03002'!$D15*'EL 03002'!$F15*'EL 03002'!$H15,'EL 03002'!$D15*'EL 03002'!$F15)</f>
        <v>0.44400000000000006</v>
      </c>
    </row>
    <row r="16" spans="1:14" x14ac:dyDescent="0.3">
      <c r="A16" s="168">
        <v>30</v>
      </c>
      <c r="B16" s="180" t="s">
        <v>702</v>
      </c>
      <c r="C16" s="168" t="s">
        <v>711</v>
      </c>
      <c r="D16" s="323">
        <v>0.25</v>
      </c>
      <c r="E16" s="168" t="s">
        <v>704</v>
      </c>
      <c r="F16" s="168">
        <v>1</v>
      </c>
      <c r="G16" s="168"/>
      <c r="H16" s="168"/>
      <c r="I16" s="323">
        <f>IF('EL 02001'!$H16&lt;&gt;"",'EL 02001'!$D16*'EL 02001'!$F16*'EL 02001'!$H16,'EL 02001'!$D16*'EL 02001'!$F16)</f>
        <v>0.5</v>
      </c>
    </row>
    <row r="17" spans="8:9" s="178" customFormat="1" x14ac:dyDescent="0.3">
      <c r="H17" s="669" t="s">
        <v>547</v>
      </c>
      <c r="I17" s="670">
        <f>SUM(I14:I16)</f>
        <v>2.2440000000000002</v>
      </c>
    </row>
  </sheetData>
  <pageMargins left="0.5" right="0.5" top="0.75" bottom="0.75" header="0.3" footer="0.3"/>
  <pageSetup scale="57" fitToHeight="0" orientation="landscape" r:id="rId1"/>
</worksheet>
</file>

<file path=xl/worksheets/sheet2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249977111117893"/>
    <pageSetUpPr fitToPage="1"/>
  </sheetPr>
  <dimension ref="A1:N132"/>
  <sheetViews>
    <sheetView showGridLines="0" workbookViewId="0"/>
  </sheetViews>
  <sheetFormatPr defaultColWidth="9.109375" defaultRowHeight="14.4" x14ac:dyDescent="0.3"/>
  <cols>
    <col min="1" max="1" width="10.5546875" style="161" bestFit="1" customWidth="1"/>
    <col min="2" max="2" width="46.5546875" style="161" customWidth="1"/>
    <col min="3" max="3" width="41.33203125" style="161" customWidth="1"/>
    <col min="4" max="4" width="11" style="161" bestFit="1" customWidth="1"/>
    <col min="5" max="5" width="10.33203125" style="161" bestFit="1" customWidth="1"/>
    <col min="6" max="6" width="12.6640625" style="161" customWidth="1"/>
    <col min="7" max="7" width="10.33203125" style="161" customWidth="1"/>
    <col min="8" max="8" width="12.109375" style="161" customWidth="1"/>
    <col min="9" max="9" width="10.109375" style="161" customWidth="1"/>
    <col min="10" max="10" width="12.33203125" style="161" customWidth="1"/>
    <col min="11" max="11" width="7.109375" style="161" customWidth="1"/>
    <col min="12" max="12" width="8" style="161" customWidth="1"/>
    <col min="13" max="13" width="16.33203125" style="161" customWidth="1"/>
    <col min="14" max="14" width="11.6640625" style="161" customWidth="1"/>
    <col min="15" max="16384" width="9.109375" style="161"/>
  </cols>
  <sheetData>
    <row r="1" spans="1:14" x14ac:dyDescent="0.3">
      <c r="A1" s="658" t="s">
        <v>523</v>
      </c>
      <c r="B1" s="161" t="s">
        <v>524</v>
      </c>
      <c r="J1" s="658" t="s">
        <v>528</v>
      </c>
      <c r="K1" s="163">
        <v>81</v>
      </c>
      <c r="M1" s="658" t="s">
        <v>531</v>
      </c>
      <c r="N1" s="336">
        <f>E12+N74+I114+J126+I130</f>
        <v>1323.575793</v>
      </c>
    </row>
    <row r="2" spans="1:14" x14ac:dyDescent="0.3">
      <c r="A2" s="658" t="s">
        <v>532</v>
      </c>
      <c r="B2" s="161" t="s">
        <v>285</v>
      </c>
      <c r="M2" s="658" t="s">
        <v>533</v>
      </c>
      <c r="N2" s="165">
        <v>1</v>
      </c>
    </row>
    <row r="3" spans="1:14" x14ac:dyDescent="0.3">
      <c r="A3" s="658" t="s">
        <v>534</v>
      </c>
      <c r="B3" s="161" t="s">
        <v>2194</v>
      </c>
      <c r="J3" s="658" t="s">
        <v>536</v>
      </c>
    </row>
    <row r="4" spans="1:14" x14ac:dyDescent="0.3">
      <c r="A4" s="658" t="s">
        <v>537</v>
      </c>
      <c r="B4" s="166" t="s">
        <v>302</v>
      </c>
      <c r="J4" s="658" t="s">
        <v>538</v>
      </c>
      <c r="M4" s="658" t="s">
        <v>539</v>
      </c>
      <c r="N4" s="336">
        <f>N1*N2</f>
        <v>1323.575793</v>
      </c>
    </row>
    <row r="5" spans="1:14" x14ac:dyDescent="0.3">
      <c r="A5" s="658" t="s">
        <v>540</v>
      </c>
      <c r="B5" s="161" t="s">
        <v>36</v>
      </c>
      <c r="J5" s="658" t="s">
        <v>541</v>
      </c>
    </row>
    <row r="6" spans="1:14" x14ac:dyDescent="0.3">
      <c r="A6" s="658" t="s">
        <v>542</v>
      </c>
      <c r="B6" s="161" t="s">
        <v>2195</v>
      </c>
    </row>
    <row r="8" spans="1:14" x14ac:dyDescent="0.3">
      <c r="A8" s="659" t="s">
        <v>544</v>
      </c>
      <c r="B8" s="659" t="s">
        <v>545</v>
      </c>
      <c r="C8" s="659" t="s">
        <v>546</v>
      </c>
      <c r="D8" s="659" t="s">
        <v>28</v>
      </c>
      <c r="E8" s="659" t="s">
        <v>547</v>
      </c>
    </row>
    <row r="9" spans="1:14" x14ac:dyDescent="0.3">
      <c r="A9" s="168">
        <v>10</v>
      </c>
      <c r="B9" s="168" t="s">
        <v>2196</v>
      </c>
      <c r="C9" s="323">
        <f>'EL 04001'!N1</f>
        <v>0.92058733333333342</v>
      </c>
      <c r="D9" s="215">
        <v>3</v>
      </c>
      <c r="E9" s="322">
        <f>C9*D9</f>
        <v>2.7617620000000001</v>
      </c>
    </row>
    <row r="10" spans="1:14" ht="15" customHeight="1" x14ac:dyDescent="0.3">
      <c r="A10" s="168">
        <v>20</v>
      </c>
      <c r="B10" s="183" t="s">
        <v>2287</v>
      </c>
      <c r="C10" s="323">
        <f>'EL 04002'!N1</f>
        <v>3.3036500000000002</v>
      </c>
      <c r="D10" s="215">
        <v>1</v>
      </c>
      <c r="E10" s="322">
        <f>C10*D10</f>
        <v>3.3036500000000002</v>
      </c>
    </row>
    <row r="11" spans="1:14" ht="15.75" customHeight="1" x14ac:dyDescent="0.3">
      <c r="A11" s="168">
        <v>30</v>
      </c>
      <c r="B11" s="168" t="s">
        <v>2197</v>
      </c>
      <c r="C11" s="323">
        <f>'EL 04003'!N1</f>
        <v>1.4184405000000002</v>
      </c>
      <c r="D11" s="215">
        <v>2</v>
      </c>
      <c r="E11" s="322">
        <f>C11*D11</f>
        <v>2.8368810000000004</v>
      </c>
    </row>
    <row r="12" spans="1:14" x14ac:dyDescent="0.3">
      <c r="D12" s="673" t="s">
        <v>547</v>
      </c>
      <c r="E12" s="661">
        <f>SUM(E9:E11)</f>
        <v>8.9022930000000002</v>
      </c>
    </row>
    <row r="14" spans="1:14" x14ac:dyDescent="0.3">
      <c r="A14" s="659" t="s">
        <v>544</v>
      </c>
      <c r="B14" s="659" t="s">
        <v>581</v>
      </c>
      <c r="C14" s="659" t="s">
        <v>549</v>
      </c>
      <c r="D14" s="659" t="s">
        <v>550</v>
      </c>
      <c r="E14" s="659" t="s">
        <v>567</v>
      </c>
      <c r="F14" s="659" t="s">
        <v>568</v>
      </c>
      <c r="G14" s="659" t="s">
        <v>569</v>
      </c>
      <c r="H14" s="659" t="s">
        <v>570</v>
      </c>
      <c r="I14" s="659" t="s">
        <v>582</v>
      </c>
      <c r="J14" s="659" t="s">
        <v>583</v>
      </c>
      <c r="K14" s="659" t="s">
        <v>584</v>
      </c>
      <c r="L14" s="659" t="s">
        <v>585</v>
      </c>
      <c r="M14" s="659" t="s">
        <v>28</v>
      </c>
      <c r="N14" s="659" t="s">
        <v>547</v>
      </c>
    </row>
    <row r="15" spans="1:14" x14ac:dyDescent="0.3">
      <c r="A15" s="168">
        <v>10</v>
      </c>
      <c r="B15" s="168" t="s">
        <v>625</v>
      </c>
      <c r="C15" s="168" t="s">
        <v>2082</v>
      </c>
      <c r="D15" s="302">
        <v>10</v>
      </c>
      <c r="E15" s="168">
        <v>6.0000000000000001E-3</v>
      </c>
      <c r="F15" s="168" t="s">
        <v>627</v>
      </c>
      <c r="G15" s="168"/>
      <c r="H15" s="219"/>
      <c r="I15" s="269"/>
      <c r="J15" s="227"/>
      <c r="K15" s="597"/>
      <c r="L15" s="219"/>
      <c r="M15" s="168">
        <v>1</v>
      </c>
      <c r="N15" s="322">
        <f>IF($E15&lt;&gt;"",$D15*$E15*$M15,$D15*$M15)</f>
        <v>0.06</v>
      </c>
    </row>
    <row r="16" spans="1:14" s="248" customFormat="1" x14ac:dyDescent="0.3">
      <c r="A16" s="168">
        <v>20</v>
      </c>
      <c r="B16" s="225" t="s">
        <v>1024</v>
      </c>
      <c r="C16" s="184" t="s">
        <v>2198</v>
      </c>
      <c r="D16" s="671">
        <v>0</v>
      </c>
      <c r="E16" s="184"/>
      <c r="F16" s="225"/>
      <c r="G16" s="184"/>
      <c r="H16" s="268"/>
      <c r="I16" s="269"/>
      <c r="J16" s="270"/>
      <c r="K16" s="268"/>
      <c r="L16" s="268"/>
      <c r="M16" s="271"/>
      <c r="N16" s="671">
        <f>D16*E16</f>
        <v>0</v>
      </c>
    </row>
    <row r="17" spans="1:14" x14ac:dyDescent="0.3">
      <c r="A17" s="168">
        <v>30</v>
      </c>
      <c r="B17" s="225" t="s">
        <v>2199</v>
      </c>
      <c r="C17" s="168" t="s">
        <v>2200</v>
      </c>
      <c r="D17" s="323">
        <v>750</v>
      </c>
      <c r="E17" s="168"/>
      <c r="F17" s="168"/>
      <c r="G17" s="168"/>
      <c r="H17" s="219"/>
      <c r="I17" s="220"/>
      <c r="J17" s="221"/>
      <c r="K17" s="219"/>
      <c r="L17" s="219"/>
      <c r="M17" s="339">
        <v>1</v>
      </c>
      <c r="N17" s="322">
        <f>IF($E17&lt;&gt;"",$D17*$E17*$M17,$D17*$M17)</f>
        <v>750</v>
      </c>
    </row>
    <row r="18" spans="1:14" x14ac:dyDescent="0.3">
      <c r="A18" s="168">
        <v>40</v>
      </c>
      <c r="B18" s="225" t="s">
        <v>2201</v>
      </c>
      <c r="C18" s="168" t="s">
        <v>2202</v>
      </c>
      <c r="D18" s="323">
        <v>4</v>
      </c>
      <c r="E18" s="168"/>
      <c r="F18" s="168"/>
      <c r="G18" s="168"/>
      <c r="H18" s="219"/>
      <c r="I18" s="220"/>
      <c r="J18" s="221"/>
      <c r="K18" s="219"/>
      <c r="L18" s="219"/>
      <c r="M18" s="339">
        <v>1</v>
      </c>
      <c r="N18" s="322">
        <f>IF($E18&lt;&gt;"",$D18*$E18*$M18,$D18*$M18)</f>
        <v>4</v>
      </c>
    </row>
    <row r="19" spans="1:14" x14ac:dyDescent="0.3">
      <c r="A19" s="168">
        <v>50</v>
      </c>
      <c r="B19" s="225" t="s">
        <v>2203</v>
      </c>
      <c r="C19" s="168" t="s">
        <v>2204</v>
      </c>
      <c r="D19" s="323">
        <v>4</v>
      </c>
      <c r="E19" s="168"/>
      <c r="F19" s="168"/>
      <c r="G19" s="168"/>
      <c r="H19" s="219"/>
      <c r="I19" s="220"/>
      <c r="J19" s="221"/>
      <c r="K19" s="219"/>
      <c r="L19" s="219"/>
      <c r="M19" s="339">
        <v>1</v>
      </c>
      <c r="N19" s="322">
        <f t="shared" ref="N19:N73" si="0">IF($E19&lt;&gt;"",$D19*$E19*$M19,$D19*$M19)</f>
        <v>4</v>
      </c>
    </row>
    <row r="20" spans="1:14" x14ac:dyDescent="0.3">
      <c r="A20" s="168">
        <v>60</v>
      </c>
      <c r="B20" s="225" t="s">
        <v>2205</v>
      </c>
      <c r="C20" s="168" t="s">
        <v>2206</v>
      </c>
      <c r="D20" s="323">
        <v>4</v>
      </c>
      <c r="E20" s="168"/>
      <c r="F20" s="168"/>
      <c r="G20" s="168"/>
      <c r="H20" s="219"/>
      <c r="I20" s="220"/>
      <c r="J20" s="221"/>
      <c r="K20" s="219"/>
      <c r="L20" s="219"/>
      <c r="M20" s="339">
        <v>1</v>
      </c>
      <c r="N20" s="322">
        <f t="shared" si="0"/>
        <v>4</v>
      </c>
    </row>
    <row r="21" spans="1:14" x14ac:dyDescent="0.3">
      <c r="A21" s="168">
        <v>70</v>
      </c>
      <c r="B21" s="225" t="s">
        <v>2207</v>
      </c>
      <c r="C21" s="168" t="s">
        <v>2208</v>
      </c>
      <c r="D21" s="323">
        <v>4</v>
      </c>
      <c r="E21" s="168"/>
      <c r="F21" s="168"/>
      <c r="G21" s="168"/>
      <c r="H21" s="219"/>
      <c r="I21" s="220"/>
      <c r="J21" s="221"/>
      <c r="K21" s="219"/>
      <c r="L21" s="219"/>
      <c r="M21" s="339">
        <v>1</v>
      </c>
      <c r="N21" s="322">
        <f t="shared" si="0"/>
        <v>4</v>
      </c>
    </row>
    <row r="22" spans="1:14" x14ac:dyDescent="0.3">
      <c r="A22" s="168">
        <v>80</v>
      </c>
      <c r="B22" s="225" t="s">
        <v>2207</v>
      </c>
      <c r="C22" s="168" t="s">
        <v>2209</v>
      </c>
      <c r="D22" s="323">
        <v>4</v>
      </c>
      <c r="E22" s="168"/>
      <c r="F22" s="168"/>
      <c r="G22" s="168"/>
      <c r="H22" s="219"/>
      <c r="I22" s="220"/>
      <c r="J22" s="221"/>
      <c r="K22" s="219"/>
      <c r="L22" s="219"/>
      <c r="M22" s="339">
        <v>1</v>
      </c>
      <c r="N22" s="322">
        <f t="shared" si="0"/>
        <v>4</v>
      </c>
    </row>
    <row r="23" spans="1:14" x14ac:dyDescent="0.3">
      <c r="A23" s="168">
        <v>90</v>
      </c>
      <c r="B23" s="225" t="s">
        <v>2207</v>
      </c>
      <c r="C23" s="168" t="s">
        <v>2127</v>
      </c>
      <c r="D23" s="323">
        <v>4</v>
      </c>
      <c r="E23" s="168"/>
      <c r="F23" s="168"/>
      <c r="G23" s="168"/>
      <c r="H23" s="219"/>
      <c r="I23" s="220"/>
      <c r="J23" s="221"/>
      <c r="K23" s="219"/>
      <c r="L23" s="219"/>
      <c r="M23" s="339">
        <v>1</v>
      </c>
      <c r="N23" s="322">
        <f t="shared" si="0"/>
        <v>4</v>
      </c>
    </row>
    <row r="24" spans="1:14" x14ac:dyDescent="0.3">
      <c r="A24" s="168">
        <v>100</v>
      </c>
      <c r="B24" s="225" t="s">
        <v>2210</v>
      </c>
      <c r="C24" s="168" t="s">
        <v>2211</v>
      </c>
      <c r="D24" s="323">
        <v>8</v>
      </c>
      <c r="E24" s="168"/>
      <c r="F24" s="168"/>
      <c r="G24" s="168"/>
      <c r="H24" s="219"/>
      <c r="I24" s="220"/>
      <c r="J24" s="221"/>
      <c r="K24" s="219"/>
      <c r="L24" s="219"/>
      <c r="M24" s="339">
        <v>1</v>
      </c>
      <c r="N24" s="322">
        <f t="shared" si="0"/>
        <v>8</v>
      </c>
    </row>
    <row r="25" spans="1:14" x14ac:dyDescent="0.3">
      <c r="A25" s="168">
        <v>110</v>
      </c>
      <c r="B25" s="225" t="s">
        <v>2210</v>
      </c>
      <c r="C25" s="168" t="s">
        <v>2141</v>
      </c>
      <c r="D25" s="323">
        <v>8</v>
      </c>
      <c r="E25" s="168"/>
      <c r="F25" s="168"/>
      <c r="G25" s="168"/>
      <c r="H25" s="219"/>
      <c r="I25" s="220"/>
      <c r="J25" s="221"/>
      <c r="K25" s="219"/>
      <c r="L25" s="219"/>
      <c r="M25" s="339">
        <v>1</v>
      </c>
      <c r="N25" s="322">
        <f t="shared" si="0"/>
        <v>8</v>
      </c>
    </row>
    <row r="26" spans="1:14" x14ac:dyDescent="0.3">
      <c r="A26" s="168">
        <v>120</v>
      </c>
      <c r="B26" s="256" t="s">
        <v>2212</v>
      </c>
      <c r="C26" s="168" t="s">
        <v>2213</v>
      </c>
      <c r="D26" s="323">
        <v>35</v>
      </c>
      <c r="E26" s="168"/>
      <c r="F26" s="168"/>
      <c r="G26" s="168"/>
      <c r="H26" s="219"/>
      <c r="I26" s="220"/>
      <c r="J26" s="221"/>
      <c r="K26" s="219"/>
      <c r="L26" s="219"/>
      <c r="M26" s="339">
        <v>1</v>
      </c>
      <c r="N26" s="322">
        <v>35</v>
      </c>
    </row>
    <row r="27" spans="1:14" x14ac:dyDescent="0.3">
      <c r="A27" s="168">
        <v>130</v>
      </c>
      <c r="B27" s="225" t="s">
        <v>2135</v>
      </c>
      <c r="C27" s="168" t="s">
        <v>2202</v>
      </c>
      <c r="D27" s="323">
        <v>0.5</v>
      </c>
      <c r="E27" s="168">
        <v>2</v>
      </c>
      <c r="F27" s="386" t="s">
        <v>2034</v>
      </c>
      <c r="G27" s="168"/>
      <c r="H27" s="219"/>
      <c r="I27" s="331"/>
      <c r="J27" s="221"/>
      <c r="K27" s="219"/>
      <c r="L27" s="219"/>
      <c r="M27" s="339">
        <v>1</v>
      </c>
      <c r="N27" s="322">
        <f t="shared" si="0"/>
        <v>1</v>
      </c>
    </row>
    <row r="28" spans="1:14" x14ac:dyDescent="0.3">
      <c r="A28" s="168">
        <v>140</v>
      </c>
      <c r="B28" s="225" t="s">
        <v>2135</v>
      </c>
      <c r="C28" s="168" t="s">
        <v>2204</v>
      </c>
      <c r="D28" s="323">
        <v>0.5</v>
      </c>
      <c r="E28" s="168">
        <v>2</v>
      </c>
      <c r="F28" s="386" t="s">
        <v>2034</v>
      </c>
      <c r="G28" s="168"/>
      <c r="H28" s="219"/>
      <c r="I28" s="331"/>
      <c r="J28" s="221"/>
      <c r="K28" s="219"/>
      <c r="L28" s="219"/>
      <c r="M28" s="339">
        <v>2</v>
      </c>
      <c r="N28" s="322">
        <f t="shared" si="0"/>
        <v>2</v>
      </c>
    </row>
    <row r="29" spans="1:14" x14ac:dyDescent="0.3">
      <c r="A29" s="168">
        <v>150</v>
      </c>
      <c r="B29" s="225" t="s">
        <v>2135</v>
      </c>
      <c r="C29" s="168" t="s">
        <v>2206</v>
      </c>
      <c r="D29" s="323">
        <v>0.5</v>
      </c>
      <c r="E29" s="168">
        <v>3</v>
      </c>
      <c r="F29" s="386" t="s">
        <v>2034</v>
      </c>
      <c r="G29" s="168"/>
      <c r="H29" s="219"/>
      <c r="I29" s="331"/>
      <c r="J29" s="221"/>
      <c r="K29" s="219"/>
      <c r="L29" s="219"/>
      <c r="M29" s="339">
        <v>1</v>
      </c>
      <c r="N29" s="322">
        <f t="shared" si="0"/>
        <v>1.5</v>
      </c>
    </row>
    <row r="30" spans="1:14" x14ac:dyDescent="0.3">
      <c r="A30" s="168">
        <v>160</v>
      </c>
      <c r="B30" s="225" t="s">
        <v>2135</v>
      </c>
      <c r="C30" s="168" t="s">
        <v>2211</v>
      </c>
      <c r="D30" s="323">
        <v>0.5</v>
      </c>
      <c r="E30" s="168">
        <v>3</v>
      </c>
      <c r="F30" s="386" t="s">
        <v>2034</v>
      </c>
      <c r="G30" s="168"/>
      <c r="H30" s="219"/>
      <c r="I30" s="331"/>
      <c r="J30" s="221"/>
      <c r="K30" s="219"/>
      <c r="L30" s="219"/>
      <c r="M30" s="339">
        <v>1</v>
      </c>
      <c r="N30" s="322">
        <f t="shared" si="0"/>
        <v>1.5</v>
      </c>
    </row>
    <row r="31" spans="1:14" x14ac:dyDescent="0.3">
      <c r="A31" s="168">
        <v>170</v>
      </c>
      <c r="B31" s="225" t="s">
        <v>2135</v>
      </c>
      <c r="C31" s="168" t="s">
        <v>2141</v>
      </c>
      <c r="D31" s="323">
        <v>0.5</v>
      </c>
      <c r="E31" s="168">
        <v>2</v>
      </c>
      <c r="F31" s="386" t="s">
        <v>2034</v>
      </c>
      <c r="G31" s="168"/>
      <c r="H31" s="219"/>
      <c r="I31" s="331"/>
      <c r="J31" s="221"/>
      <c r="K31" s="219"/>
      <c r="L31" s="219"/>
      <c r="M31" s="339">
        <v>1</v>
      </c>
      <c r="N31" s="322">
        <f t="shared" si="0"/>
        <v>1</v>
      </c>
    </row>
    <row r="32" spans="1:14" x14ac:dyDescent="0.3">
      <c r="A32" s="168">
        <v>180</v>
      </c>
      <c r="B32" s="225" t="s">
        <v>2135</v>
      </c>
      <c r="C32" s="168" t="s">
        <v>2214</v>
      </c>
      <c r="D32" s="323">
        <v>0.5</v>
      </c>
      <c r="E32" s="168">
        <v>3</v>
      </c>
      <c r="F32" s="386" t="s">
        <v>2034</v>
      </c>
      <c r="G32" s="168"/>
      <c r="H32" s="219"/>
      <c r="I32" s="331"/>
      <c r="J32" s="221"/>
      <c r="K32" s="219"/>
      <c r="L32" s="219"/>
      <c r="M32" s="339">
        <v>1</v>
      </c>
      <c r="N32" s="322">
        <f t="shared" si="0"/>
        <v>1.5</v>
      </c>
    </row>
    <row r="33" spans="1:14" x14ac:dyDescent="0.3">
      <c r="A33" s="168">
        <v>190</v>
      </c>
      <c r="B33" s="225" t="s">
        <v>2135</v>
      </c>
      <c r="C33" s="168" t="s">
        <v>2215</v>
      </c>
      <c r="D33" s="323">
        <v>0.5</v>
      </c>
      <c r="E33" s="168">
        <v>2</v>
      </c>
      <c r="F33" s="386" t="s">
        <v>2034</v>
      </c>
      <c r="G33" s="168"/>
      <c r="H33" s="219"/>
      <c r="I33" s="331"/>
      <c r="J33" s="221"/>
      <c r="K33" s="219"/>
      <c r="L33" s="219"/>
      <c r="M33" s="339">
        <v>1</v>
      </c>
      <c r="N33" s="322">
        <f t="shared" si="0"/>
        <v>1</v>
      </c>
    </row>
    <row r="34" spans="1:14" x14ac:dyDescent="0.3">
      <c r="A34" s="168">
        <v>200</v>
      </c>
      <c r="B34" s="225" t="s">
        <v>2135</v>
      </c>
      <c r="C34" s="168" t="s">
        <v>2216</v>
      </c>
      <c r="D34" s="323">
        <v>0.5</v>
      </c>
      <c r="E34" s="168">
        <v>2</v>
      </c>
      <c r="F34" s="386" t="s">
        <v>2034</v>
      </c>
      <c r="G34" s="168"/>
      <c r="H34" s="219"/>
      <c r="I34" s="331"/>
      <c r="J34" s="221"/>
      <c r="K34" s="219"/>
      <c r="L34" s="219"/>
      <c r="M34" s="339">
        <v>1</v>
      </c>
      <c r="N34" s="322">
        <f t="shared" si="0"/>
        <v>1</v>
      </c>
    </row>
    <row r="35" spans="1:14" x14ac:dyDescent="0.3">
      <c r="A35" s="168">
        <v>210</v>
      </c>
      <c r="B35" s="225" t="s">
        <v>2135</v>
      </c>
      <c r="C35" s="168" t="s">
        <v>2217</v>
      </c>
      <c r="D35" s="323">
        <v>0.5</v>
      </c>
      <c r="E35" s="168">
        <v>3</v>
      </c>
      <c r="F35" s="386" t="s">
        <v>2034</v>
      </c>
      <c r="G35" s="168"/>
      <c r="H35" s="219"/>
      <c r="I35" s="331"/>
      <c r="J35" s="221"/>
      <c r="K35" s="219"/>
      <c r="L35" s="219"/>
      <c r="M35" s="339">
        <v>2</v>
      </c>
      <c r="N35" s="322">
        <f t="shared" si="0"/>
        <v>3</v>
      </c>
    </row>
    <row r="36" spans="1:14" x14ac:dyDescent="0.3">
      <c r="A36" s="168">
        <v>220</v>
      </c>
      <c r="B36" s="225" t="s">
        <v>2135</v>
      </c>
      <c r="C36" s="168" t="s">
        <v>2218</v>
      </c>
      <c r="D36" s="323">
        <v>0.5</v>
      </c>
      <c r="E36" s="168">
        <v>32</v>
      </c>
      <c r="F36" s="386" t="s">
        <v>2034</v>
      </c>
      <c r="G36" s="168"/>
      <c r="H36" s="219"/>
      <c r="I36" s="331"/>
      <c r="J36" s="221"/>
      <c r="K36" s="219"/>
      <c r="L36" s="219"/>
      <c r="M36" s="339">
        <v>2</v>
      </c>
      <c r="N36" s="322">
        <f t="shared" si="0"/>
        <v>32</v>
      </c>
    </row>
    <row r="37" spans="1:14" x14ac:dyDescent="0.3">
      <c r="A37" s="168">
        <v>230</v>
      </c>
      <c r="B37" s="225" t="s">
        <v>2135</v>
      </c>
      <c r="C37" s="168" t="s">
        <v>2219</v>
      </c>
      <c r="D37" s="323">
        <v>0.5</v>
      </c>
      <c r="E37" s="168">
        <v>12</v>
      </c>
      <c r="F37" s="386" t="s">
        <v>2034</v>
      </c>
      <c r="G37" s="168"/>
      <c r="H37" s="219"/>
      <c r="I37" s="331"/>
      <c r="J37" s="221"/>
      <c r="K37" s="219"/>
      <c r="L37" s="219"/>
      <c r="M37" s="339">
        <v>1</v>
      </c>
      <c r="N37" s="322">
        <f t="shared" si="0"/>
        <v>6</v>
      </c>
    </row>
    <row r="38" spans="1:14" x14ac:dyDescent="0.3">
      <c r="A38" s="168">
        <v>240</v>
      </c>
      <c r="B38" s="225" t="s">
        <v>2135</v>
      </c>
      <c r="C38" s="168" t="s">
        <v>2213</v>
      </c>
      <c r="D38" s="323">
        <v>0.5</v>
      </c>
      <c r="E38" s="168">
        <v>4</v>
      </c>
      <c r="F38" s="386" t="s">
        <v>2034</v>
      </c>
      <c r="G38" s="168"/>
      <c r="H38" s="219"/>
      <c r="I38" s="331"/>
      <c r="J38" s="221"/>
      <c r="K38" s="219"/>
      <c r="L38" s="219"/>
      <c r="M38" s="339">
        <v>1</v>
      </c>
      <c r="N38" s="322">
        <f t="shared" si="0"/>
        <v>2</v>
      </c>
    </row>
    <row r="39" spans="1:14" x14ac:dyDescent="0.3">
      <c r="A39" s="168">
        <v>250</v>
      </c>
      <c r="B39" s="225" t="s">
        <v>2220</v>
      </c>
      <c r="C39" s="168" t="s">
        <v>2221</v>
      </c>
      <c r="D39" s="323">
        <v>2</v>
      </c>
      <c r="E39" s="168">
        <v>3</v>
      </c>
      <c r="F39" s="386" t="s">
        <v>2034</v>
      </c>
      <c r="G39" s="168"/>
      <c r="H39" s="219"/>
      <c r="I39" s="331"/>
      <c r="J39" s="221"/>
      <c r="K39" s="219"/>
      <c r="L39" s="219"/>
      <c r="M39" s="339">
        <v>2</v>
      </c>
      <c r="N39" s="322">
        <f t="shared" si="0"/>
        <v>12</v>
      </c>
    </row>
    <row r="40" spans="1:14" x14ac:dyDescent="0.3">
      <c r="A40" s="168">
        <v>260</v>
      </c>
      <c r="B40" s="225" t="s">
        <v>2220</v>
      </c>
      <c r="C40" s="168" t="s">
        <v>2222</v>
      </c>
      <c r="D40" s="323">
        <v>2</v>
      </c>
      <c r="E40" s="168">
        <v>4</v>
      </c>
      <c r="F40" s="386" t="s">
        <v>2034</v>
      </c>
      <c r="G40" s="168"/>
      <c r="H40" s="219"/>
      <c r="I40" s="331"/>
      <c r="J40" s="221"/>
      <c r="K40" s="219"/>
      <c r="L40" s="219"/>
      <c r="M40" s="339">
        <v>2</v>
      </c>
      <c r="N40" s="322">
        <f t="shared" si="0"/>
        <v>16</v>
      </c>
    </row>
    <row r="41" spans="1:14" x14ac:dyDescent="0.3">
      <c r="A41" s="168">
        <v>270</v>
      </c>
      <c r="B41" s="225" t="s">
        <v>2026</v>
      </c>
      <c r="C41" s="168" t="s">
        <v>2223</v>
      </c>
      <c r="D41" s="323">
        <v>0.05</v>
      </c>
      <c r="E41" s="168">
        <v>1</v>
      </c>
      <c r="F41" s="386" t="s">
        <v>2028</v>
      </c>
      <c r="G41" s="168"/>
      <c r="H41" s="219"/>
      <c r="I41" s="331"/>
      <c r="J41" s="221"/>
      <c r="K41" s="219"/>
      <c r="L41" s="219"/>
      <c r="M41" s="339">
        <v>2</v>
      </c>
      <c r="N41" s="322">
        <f t="shared" si="0"/>
        <v>0.1</v>
      </c>
    </row>
    <row r="42" spans="1:14" x14ac:dyDescent="0.3">
      <c r="A42" s="168">
        <v>280</v>
      </c>
      <c r="B42" s="225" t="s">
        <v>2135</v>
      </c>
      <c r="C42" s="168" t="s">
        <v>155</v>
      </c>
      <c r="D42" s="323">
        <v>0.5</v>
      </c>
      <c r="E42" s="168">
        <v>2</v>
      </c>
      <c r="F42" s="386" t="s">
        <v>2034</v>
      </c>
      <c r="G42" s="168"/>
      <c r="H42" s="219"/>
      <c r="I42" s="331"/>
      <c r="J42" s="221"/>
      <c r="K42" s="219"/>
      <c r="L42" s="219"/>
      <c r="M42" s="339">
        <v>2</v>
      </c>
      <c r="N42" s="322">
        <f t="shared" si="0"/>
        <v>2</v>
      </c>
    </row>
    <row r="43" spans="1:14" x14ac:dyDescent="0.3">
      <c r="A43" s="168">
        <v>290</v>
      </c>
      <c r="B43" s="225" t="s">
        <v>2135</v>
      </c>
      <c r="C43" s="168" t="s">
        <v>2224</v>
      </c>
      <c r="D43" s="323">
        <v>0.5</v>
      </c>
      <c r="E43" s="168">
        <v>3</v>
      </c>
      <c r="F43" s="386" t="s">
        <v>2034</v>
      </c>
      <c r="G43" s="168"/>
      <c r="H43" s="219"/>
      <c r="I43" s="331"/>
      <c r="J43" s="221"/>
      <c r="K43" s="219"/>
      <c r="L43" s="219"/>
      <c r="M43" s="339">
        <v>1</v>
      </c>
      <c r="N43" s="322">
        <f t="shared" si="0"/>
        <v>1.5</v>
      </c>
    </row>
    <row r="44" spans="1:14" x14ac:dyDescent="0.3">
      <c r="A44" s="168">
        <v>300</v>
      </c>
      <c r="B44" s="225" t="s">
        <v>2135</v>
      </c>
      <c r="C44" s="168" t="s">
        <v>2225</v>
      </c>
      <c r="D44" s="323">
        <v>0.5</v>
      </c>
      <c r="E44" s="168">
        <v>2</v>
      </c>
      <c r="F44" s="386" t="s">
        <v>2034</v>
      </c>
      <c r="G44" s="168"/>
      <c r="H44" s="219"/>
      <c r="I44" s="331"/>
      <c r="J44" s="221"/>
      <c r="K44" s="219"/>
      <c r="L44" s="219"/>
      <c r="M44" s="339">
        <v>2</v>
      </c>
      <c r="N44" s="322">
        <f t="shared" si="0"/>
        <v>2</v>
      </c>
    </row>
    <row r="45" spans="1:14" x14ac:dyDescent="0.3">
      <c r="A45" s="168">
        <v>310</v>
      </c>
      <c r="B45" s="225" t="s">
        <v>2135</v>
      </c>
      <c r="C45" s="168" t="s">
        <v>2226</v>
      </c>
      <c r="D45" s="323">
        <v>0.5</v>
      </c>
      <c r="E45" s="168">
        <v>2</v>
      </c>
      <c r="F45" s="386" t="s">
        <v>2034</v>
      </c>
      <c r="G45" s="168"/>
      <c r="H45" s="219"/>
      <c r="I45" s="331"/>
      <c r="J45" s="221"/>
      <c r="K45" s="219"/>
      <c r="L45" s="219"/>
      <c r="M45" s="339">
        <v>4</v>
      </c>
      <c r="N45" s="322">
        <f t="shared" si="0"/>
        <v>4</v>
      </c>
    </row>
    <row r="46" spans="1:14" x14ac:dyDescent="0.3">
      <c r="A46" s="168">
        <v>320</v>
      </c>
      <c r="B46" s="225" t="s">
        <v>2135</v>
      </c>
      <c r="C46" s="168" t="s">
        <v>2226</v>
      </c>
      <c r="D46" s="323">
        <v>0.5</v>
      </c>
      <c r="E46" s="168">
        <v>5</v>
      </c>
      <c r="F46" s="386" t="s">
        <v>2034</v>
      </c>
      <c r="G46" s="168"/>
      <c r="H46" s="219"/>
      <c r="I46" s="331"/>
      <c r="J46" s="221"/>
      <c r="K46" s="219"/>
      <c r="L46" s="219"/>
      <c r="M46" s="339">
        <v>2</v>
      </c>
      <c r="N46" s="322">
        <f t="shared" si="0"/>
        <v>5</v>
      </c>
    </row>
    <row r="47" spans="1:14" x14ac:dyDescent="0.3">
      <c r="A47" s="168">
        <v>330</v>
      </c>
      <c r="B47" s="225" t="s">
        <v>2135</v>
      </c>
      <c r="C47" s="168" t="s">
        <v>2227</v>
      </c>
      <c r="D47" s="323">
        <v>0.5</v>
      </c>
      <c r="E47" s="168">
        <v>2</v>
      </c>
      <c r="F47" s="386" t="s">
        <v>2034</v>
      </c>
      <c r="G47" s="168"/>
      <c r="H47" s="219"/>
      <c r="I47" s="331"/>
      <c r="J47" s="221"/>
      <c r="K47" s="219"/>
      <c r="L47" s="219"/>
      <c r="M47" s="339">
        <v>8</v>
      </c>
      <c r="N47" s="322">
        <f t="shared" si="0"/>
        <v>8</v>
      </c>
    </row>
    <row r="48" spans="1:14" x14ac:dyDescent="0.3">
      <c r="A48" s="168">
        <v>340</v>
      </c>
      <c r="B48" s="225" t="s">
        <v>2026</v>
      </c>
      <c r="C48" s="168" t="s">
        <v>2228</v>
      </c>
      <c r="D48" s="323">
        <v>0.05</v>
      </c>
      <c r="E48" s="168">
        <v>1</v>
      </c>
      <c r="F48" s="386" t="s">
        <v>2028</v>
      </c>
      <c r="G48" s="168"/>
      <c r="H48" s="219"/>
      <c r="I48" s="331"/>
      <c r="J48" s="221"/>
      <c r="K48" s="219"/>
      <c r="L48" s="219"/>
      <c r="M48" s="339">
        <v>1</v>
      </c>
      <c r="N48" s="322">
        <f t="shared" si="0"/>
        <v>0.05</v>
      </c>
    </row>
    <row r="49" spans="1:14" x14ac:dyDescent="0.3">
      <c r="A49" s="168">
        <v>350</v>
      </c>
      <c r="B49" s="225" t="s">
        <v>2026</v>
      </c>
      <c r="C49" s="168" t="s">
        <v>2224</v>
      </c>
      <c r="D49" s="323">
        <v>0.05</v>
      </c>
      <c r="E49" s="168">
        <v>1</v>
      </c>
      <c r="F49" s="386" t="s">
        <v>2028</v>
      </c>
      <c r="G49" s="168"/>
      <c r="H49" s="219"/>
      <c r="I49" s="331"/>
      <c r="J49" s="221"/>
      <c r="K49" s="219"/>
      <c r="L49" s="219"/>
      <c r="M49" s="339">
        <v>2</v>
      </c>
      <c r="N49" s="322">
        <f t="shared" si="0"/>
        <v>0.1</v>
      </c>
    </row>
    <row r="50" spans="1:14" x14ac:dyDescent="0.3">
      <c r="A50" s="168">
        <v>360</v>
      </c>
      <c r="B50" s="225" t="s">
        <v>2026</v>
      </c>
      <c r="C50" s="168" t="s">
        <v>2147</v>
      </c>
      <c r="D50" s="323">
        <v>0.05</v>
      </c>
      <c r="E50" s="168">
        <v>1</v>
      </c>
      <c r="F50" s="386" t="s">
        <v>2028</v>
      </c>
      <c r="G50" s="168"/>
      <c r="H50" s="219"/>
      <c r="I50" s="331"/>
      <c r="J50" s="221"/>
      <c r="K50" s="219"/>
      <c r="L50" s="219"/>
      <c r="M50" s="339">
        <v>5</v>
      </c>
      <c r="N50" s="322">
        <f t="shared" si="0"/>
        <v>0.25</v>
      </c>
    </row>
    <row r="51" spans="1:14" x14ac:dyDescent="0.3">
      <c r="A51" s="168">
        <v>370</v>
      </c>
      <c r="B51" s="225" t="s">
        <v>2026</v>
      </c>
      <c r="C51" s="168" t="s">
        <v>2229</v>
      </c>
      <c r="D51" s="323">
        <v>0.05</v>
      </c>
      <c r="E51" s="168">
        <v>1</v>
      </c>
      <c r="F51" s="386" t="s">
        <v>2028</v>
      </c>
      <c r="G51" s="168"/>
      <c r="H51" s="219"/>
      <c r="I51" s="331"/>
      <c r="J51" s="221"/>
      <c r="K51" s="219"/>
      <c r="L51" s="219"/>
      <c r="M51" s="339">
        <v>6</v>
      </c>
      <c r="N51" s="322">
        <f t="shared" si="0"/>
        <v>0.30000000000000004</v>
      </c>
    </row>
    <row r="52" spans="1:14" x14ac:dyDescent="0.3">
      <c r="A52" s="168">
        <v>380</v>
      </c>
      <c r="B52" s="225" t="s">
        <v>2135</v>
      </c>
      <c r="C52" s="168" t="s">
        <v>2230</v>
      </c>
      <c r="D52" s="323">
        <v>0.5</v>
      </c>
      <c r="E52" s="168">
        <v>5</v>
      </c>
      <c r="F52" s="386" t="s">
        <v>2034</v>
      </c>
      <c r="G52" s="168"/>
      <c r="H52" s="219"/>
      <c r="I52" s="331"/>
      <c r="J52" s="221"/>
      <c r="K52" s="219"/>
      <c r="L52" s="219"/>
      <c r="M52" s="339">
        <v>2</v>
      </c>
      <c r="N52" s="322">
        <f t="shared" si="0"/>
        <v>5</v>
      </c>
    </row>
    <row r="53" spans="1:14" x14ac:dyDescent="0.3">
      <c r="A53" s="168">
        <v>390</v>
      </c>
      <c r="B53" s="225" t="s">
        <v>2231</v>
      </c>
      <c r="C53" s="168" t="s">
        <v>2232</v>
      </c>
      <c r="D53" s="323">
        <v>0.5</v>
      </c>
      <c r="E53" s="168">
        <v>6</v>
      </c>
      <c r="F53" s="386" t="s">
        <v>2034</v>
      </c>
      <c r="G53" s="168"/>
      <c r="H53" s="219"/>
      <c r="I53" s="331"/>
      <c r="J53" s="221"/>
      <c r="K53" s="219"/>
      <c r="L53" s="219"/>
      <c r="M53" s="339">
        <v>6</v>
      </c>
      <c r="N53" s="322">
        <f t="shared" si="0"/>
        <v>18</v>
      </c>
    </row>
    <row r="54" spans="1:14" x14ac:dyDescent="0.3">
      <c r="A54" s="168">
        <v>400</v>
      </c>
      <c r="B54" s="225" t="s">
        <v>2231</v>
      </c>
      <c r="C54" s="168" t="s">
        <v>2232</v>
      </c>
      <c r="D54" s="323">
        <v>0.5</v>
      </c>
      <c r="E54" s="168">
        <v>3</v>
      </c>
      <c r="F54" s="386" t="s">
        <v>2034</v>
      </c>
      <c r="G54" s="168"/>
      <c r="H54" s="219"/>
      <c r="I54" s="331"/>
      <c r="J54" s="221"/>
      <c r="K54" s="219"/>
      <c r="L54" s="219"/>
      <c r="M54" s="339">
        <v>2</v>
      </c>
      <c r="N54" s="322">
        <f t="shared" si="0"/>
        <v>3</v>
      </c>
    </row>
    <row r="55" spans="1:14" x14ac:dyDescent="0.3">
      <c r="A55" s="168">
        <v>410</v>
      </c>
      <c r="B55" s="225" t="s">
        <v>2132</v>
      </c>
      <c r="C55" s="168" t="s">
        <v>2133</v>
      </c>
      <c r="D55" s="323">
        <v>1</v>
      </c>
      <c r="E55" s="168">
        <v>5</v>
      </c>
      <c r="F55" s="168" t="s">
        <v>2034</v>
      </c>
      <c r="G55" s="168"/>
      <c r="H55" s="219"/>
      <c r="I55" s="220"/>
      <c r="J55" s="221"/>
      <c r="K55" s="219"/>
      <c r="L55" s="219"/>
      <c r="M55" s="339">
        <v>1</v>
      </c>
      <c r="N55" s="322">
        <f t="shared" si="0"/>
        <v>5</v>
      </c>
    </row>
    <row r="56" spans="1:14" x14ac:dyDescent="0.3">
      <c r="A56" s="168">
        <v>420</v>
      </c>
      <c r="B56" s="225" t="s">
        <v>2132</v>
      </c>
      <c r="C56" s="168" t="s">
        <v>2133</v>
      </c>
      <c r="D56" s="323">
        <v>1</v>
      </c>
      <c r="E56" s="168">
        <v>6</v>
      </c>
      <c r="F56" s="168" t="s">
        <v>2034</v>
      </c>
      <c r="G56" s="168"/>
      <c r="H56" s="219"/>
      <c r="I56" s="331"/>
      <c r="J56" s="221"/>
      <c r="K56" s="219"/>
      <c r="L56" s="227"/>
      <c r="M56" s="339">
        <v>1</v>
      </c>
      <c r="N56" s="322">
        <f t="shared" si="0"/>
        <v>6</v>
      </c>
    </row>
    <row r="57" spans="1:14" x14ac:dyDescent="0.3">
      <c r="A57" s="168">
        <v>430</v>
      </c>
      <c r="B57" s="225" t="s">
        <v>2132</v>
      </c>
      <c r="C57" s="168" t="s">
        <v>2133</v>
      </c>
      <c r="D57" s="323">
        <v>1</v>
      </c>
      <c r="E57" s="168">
        <v>7</v>
      </c>
      <c r="F57" s="168" t="s">
        <v>2034</v>
      </c>
      <c r="G57" s="168"/>
      <c r="H57" s="219"/>
      <c r="I57" s="331"/>
      <c r="J57" s="221"/>
      <c r="K57" s="219"/>
      <c r="L57" s="219"/>
      <c r="M57" s="339">
        <v>1</v>
      </c>
      <c r="N57" s="322">
        <f t="shared" si="0"/>
        <v>7</v>
      </c>
    </row>
    <row r="58" spans="1:14" x14ac:dyDescent="0.3">
      <c r="A58" s="168">
        <v>440</v>
      </c>
      <c r="B58" s="225" t="s">
        <v>2233</v>
      </c>
      <c r="C58" s="168" t="s">
        <v>2234</v>
      </c>
      <c r="D58" s="323">
        <v>4</v>
      </c>
      <c r="E58" s="168"/>
      <c r="F58" s="386"/>
      <c r="G58" s="168"/>
      <c r="H58" s="219"/>
      <c r="I58" s="331"/>
      <c r="J58" s="221"/>
      <c r="K58" s="219"/>
      <c r="L58" s="219"/>
      <c r="M58" s="339">
        <v>3</v>
      </c>
      <c r="N58" s="322">
        <f t="shared" si="0"/>
        <v>12</v>
      </c>
    </row>
    <row r="59" spans="1:14" x14ac:dyDescent="0.3">
      <c r="A59" s="168">
        <v>450</v>
      </c>
      <c r="B59" s="225" t="s">
        <v>2032</v>
      </c>
      <c r="C59" s="168" t="s">
        <v>2235</v>
      </c>
      <c r="D59" s="323">
        <v>0.25</v>
      </c>
      <c r="E59" s="168">
        <v>12</v>
      </c>
      <c r="F59" s="386" t="s">
        <v>2034</v>
      </c>
      <c r="G59" s="168"/>
      <c r="H59" s="219"/>
      <c r="I59" s="331"/>
      <c r="J59" s="221"/>
      <c r="K59" s="219"/>
      <c r="L59" s="219"/>
      <c r="M59" s="339">
        <v>1</v>
      </c>
      <c r="N59" s="322">
        <f t="shared" si="0"/>
        <v>3</v>
      </c>
    </row>
    <row r="60" spans="1:14" x14ac:dyDescent="0.3">
      <c r="A60" s="168">
        <v>460</v>
      </c>
      <c r="B60" s="225" t="s">
        <v>2030</v>
      </c>
      <c r="C60" s="168" t="s">
        <v>2236</v>
      </c>
      <c r="D60" s="323">
        <v>1</v>
      </c>
      <c r="E60" s="168"/>
      <c r="F60" s="386"/>
      <c r="G60" s="168"/>
      <c r="H60" s="219"/>
      <c r="I60" s="331"/>
      <c r="J60" s="221"/>
      <c r="K60" s="219"/>
      <c r="L60" s="219"/>
      <c r="M60" s="339">
        <v>6</v>
      </c>
      <c r="N60" s="322">
        <f t="shared" si="0"/>
        <v>6</v>
      </c>
    </row>
    <row r="61" spans="1:14" x14ac:dyDescent="0.3">
      <c r="A61" s="168">
        <v>470</v>
      </c>
      <c r="B61" s="225" t="s">
        <v>2032</v>
      </c>
      <c r="C61" s="168" t="s">
        <v>2237</v>
      </c>
      <c r="D61" s="323">
        <v>0.25</v>
      </c>
      <c r="E61" s="168">
        <v>2</v>
      </c>
      <c r="F61" s="386" t="s">
        <v>2034</v>
      </c>
      <c r="G61" s="168"/>
      <c r="H61" s="219"/>
      <c r="I61" s="331"/>
      <c r="J61" s="221"/>
      <c r="K61" s="219"/>
      <c r="L61" s="219"/>
      <c r="M61" s="339">
        <v>2</v>
      </c>
      <c r="N61" s="322">
        <f t="shared" si="0"/>
        <v>1</v>
      </c>
    </row>
    <row r="62" spans="1:14" x14ac:dyDescent="0.3">
      <c r="A62" s="168">
        <v>480</v>
      </c>
      <c r="B62" s="225" t="s">
        <v>2030</v>
      </c>
      <c r="C62" s="168" t="s">
        <v>2237</v>
      </c>
      <c r="D62" s="323">
        <v>1</v>
      </c>
      <c r="E62" s="168"/>
      <c r="F62" s="386"/>
      <c r="G62" s="168"/>
      <c r="H62" s="219"/>
      <c r="I62" s="331"/>
      <c r="J62" s="221"/>
      <c r="K62" s="219"/>
      <c r="L62" s="219"/>
      <c r="M62" s="339">
        <v>2</v>
      </c>
      <c r="N62" s="322">
        <f t="shared" si="0"/>
        <v>2</v>
      </c>
    </row>
    <row r="63" spans="1:14" x14ac:dyDescent="0.3">
      <c r="A63" s="168">
        <v>490</v>
      </c>
      <c r="B63" s="225" t="s">
        <v>2238</v>
      </c>
      <c r="C63" s="225" t="s">
        <v>2239</v>
      </c>
      <c r="D63" s="323">
        <v>1</v>
      </c>
      <c r="E63" s="168">
        <f>23*0.4+3.6</f>
        <v>12.8</v>
      </c>
      <c r="F63" s="386" t="s">
        <v>644</v>
      </c>
      <c r="G63" s="168"/>
      <c r="H63" s="219"/>
      <c r="I63" s="331"/>
      <c r="J63" s="221"/>
      <c r="K63" s="219"/>
      <c r="L63" s="219"/>
      <c r="M63" s="339">
        <v>1</v>
      </c>
      <c r="N63" s="322">
        <f t="shared" si="0"/>
        <v>12.8</v>
      </c>
    </row>
    <row r="64" spans="1:14" x14ac:dyDescent="0.3">
      <c r="A64" s="168">
        <v>500</v>
      </c>
      <c r="B64" s="225" t="s">
        <v>2240</v>
      </c>
      <c r="C64" s="168" t="s">
        <v>2241</v>
      </c>
      <c r="D64" s="323">
        <v>1</v>
      </c>
      <c r="E64" s="168">
        <f>4*0.3</f>
        <v>1.2</v>
      </c>
      <c r="F64" s="168" t="s">
        <v>644</v>
      </c>
      <c r="G64" s="168"/>
      <c r="H64" s="219"/>
      <c r="I64" s="220"/>
      <c r="J64" s="221"/>
      <c r="K64" s="219"/>
      <c r="L64" s="219"/>
      <c r="M64" s="339">
        <v>1</v>
      </c>
      <c r="N64" s="322">
        <f t="shared" si="0"/>
        <v>1.2</v>
      </c>
    </row>
    <row r="65" spans="1:14" x14ac:dyDescent="0.3">
      <c r="A65" s="168">
        <v>510</v>
      </c>
      <c r="B65" s="225" t="s">
        <v>2124</v>
      </c>
      <c r="C65" s="168" t="s">
        <v>2232</v>
      </c>
      <c r="D65" s="323">
        <v>1</v>
      </c>
      <c r="E65" s="168">
        <f>18*0.8</f>
        <v>14.4</v>
      </c>
      <c r="F65" s="168" t="s">
        <v>644</v>
      </c>
      <c r="G65" s="168"/>
      <c r="H65" s="219"/>
      <c r="I65" s="220"/>
      <c r="J65" s="221"/>
      <c r="K65" s="219"/>
      <c r="L65" s="219"/>
      <c r="M65" s="339">
        <v>1</v>
      </c>
      <c r="N65" s="322">
        <f t="shared" si="0"/>
        <v>14.4</v>
      </c>
    </row>
    <row r="66" spans="1:14" x14ac:dyDescent="0.3">
      <c r="A66" s="168">
        <v>520</v>
      </c>
      <c r="B66" s="225" t="s">
        <v>2124</v>
      </c>
      <c r="C66" s="168" t="s">
        <v>2242</v>
      </c>
      <c r="D66" s="323">
        <v>1</v>
      </c>
      <c r="E66" s="168">
        <f>0.4*18</f>
        <v>7.2</v>
      </c>
      <c r="F66" s="168" t="s">
        <v>644</v>
      </c>
      <c r="G66" s="168"/>
      <c r="H66" s="219"/>
      <c r="I66" s="220"/>
      <c r="J66" s="221"/>
      <c r="K66" s="219"/>
      <c r="L66" s="219"/>
      <c r="M66" s="339">
        <v>1</v>
      </c>
      <c r="N66" s="322">
        <f t="shared" si="0"/>
        <v>7.2</v>
      </c>
    </row>
    <row r="67" spans="1:14" x14ac:dyDescent="0.3">
      <c r="A67" s="168">
        <v>530</v>
      </c>
      <c r="B67" s="225" t="s">
        <v>2024</v>
      </c>
      <c r="C67" s="168" t="s">
        <v>2241</v>
      </c>
      <c r="D67" s="323">
        <v>3</v>
      </c>
      <c r="E67" s="168">
        <f>4*0.4</f>
        <v>1.6</v>
      </c>
      <c r="F67" s="168" t="s">
        <v>644</v>
      </c>
      <c r="G67" s="168"/>
      <c r="H67" s="219"/>
      <c r="I67" s="220"/>
      <c r="J67" s="221"/>
      <c r="K67" s="219"/>
      <c r="L67" s="219"/>
      <c r="M67" s="339">
        <v>1</v>
      </c>
      <c r="N67" s="322">
        <f t="shared" si="0"/>
        <v>4.8000000000000007</v>
      </c>
    </row>
    <row r="68" spans="1:14" x14ac:dyDescent="0.3">
      <c r="A68" s="168">
        <v>540</v>
      </c>
      <c r="B68" s="225" t="s">
        <v>2024</v>
      </c>
      <c r="C68" s="168" t="s">
        <v>2243</v>
      </c>
      <c r="D68" s="323">
        <v>3</v>
      </c>
      <c r="E68" s="168">
        <f>30*0.7+8</f>
        <v>29</v>
      </c>
      <c r="F68" s="168" t="s">
        <v>644</v>
      </c>
      <c r="G68" s="168"/>
      <c r="H68" s="219"/>
      <c r="I68" s="220"/>
      <c r="J68" s="221"/>
      <c r="K68" s="219"/>
      <c r="L68" s="219"/>
      <c r="M68" s="339">
        <v>1</v>
      </c>
      <c r="N68" s="322">
        <f t="shared" si="0"/>
        <v>87</v>
      </c>
    </row>
    <row r="69" spans="1:14" x14ac:dyDescent="0.3">
      <c r="A69" s="168">
        <v>550</v>
      </c>
      <c r="B69" s="225" t="s">
        <v>2128</v>
      </c>
      <c r="C69" s="168" t="s">
        <v>2244</v>
      </c>
      <c r="D69" s="323">
        <v>1</v>
      </c>
      <c r="E69" s="168">
        <v>0.4</v>
      </c>
      <c r="F69" s="168" t="s">
        <v>644</v>
      </c>
      <c r="G69" s="168"/>
      <c r="H69" s="219"/>
      <c r="I69" s="220"/>
      <c r="J69" s="221"/>
      <c r="K69" s="219"/>
      <c r="L69" s="219"/>
      <c r="M69" s="339">
        <v>4</v>
      </c>
      <c r="N69" s="322">
        <f t="shared" si="0"/>
        <v>1.6</v>
      </c>
    </row>
    <row r="70" spans="1:14" x14ac:dyDescent="0.3">
      <c r="A70" s="168">
        <v>560</v>
      </c>
      <c r="B70" s="225" t="s">
        <v>2128</v>
      </c>
      <c r="C70" s="168" t="s">
        <v>2241</v>
      </c>
      <c r="D70" s="323">
        <v>1</v>
      </c>
      <c r="E70" s="168">
        <v>0.25</v>
      </c>
      <c r="F70" s="168" t="s">
        <v>644</v>
      </c>
      <c r="G70" s="168"/>
      <c r="H70" s="219"/>
      <c r="I70" s="220"/>
      <c r="J70" s="221"/>
      <c r="K70" s="219"/>
      <c r="L70" s="219"/>
      <c r="M70" s="339">
        <v>2</v>
      </c>
      <c r="N70" s="322">
        <f t="shared" si="0"/>
        <v>0.5</v>
      </c>
    </row>
    <row r="71" spans="1:14" x14ac:dyDescent="0.3">
      <c r="A71" s="168">
        <v>570</v>
      </c>
      <c r="B71" s="225" t="s">
        <v>2130</v>
      </c>
      <c r="C71" s="168" t="s">
        <v>2245</v>
      </c>
      <c r="D71" s="323">
        <v>0.5</v>
      </c>
      <c r="E71" s="168">
        <v>2.8</v>
      </c>
      <c r="F71" s="168" t="s">
        <v>644</v>
      </c>
      <c r="G71" s="168"/>
      <c r="H71" s="219"/>
      <c r="I71" s="220"/>
      <c r="J71" s="221"/>
      <c r="K71" s="219"/>
      <c r="L71" s="219"/>
      <c r="M71" s="339">
        <v>1</v>
      </c>
      <c r="N71" s="322">
        <f t="shared" si="0"/>
        <v>1.4</v>
      </c>
    </row>
    <row r="72" spans="1:14" x14ac:dyDescent="0.3">
      <c r="A72" s="168">
        <v>580</v>
      </c>
      <c r="B72" s="168" t="s">
        <v>645</v>
      </c>
      <c r="C72" s="171" t="s">
        <v>2142</v>
      </c>
      <c r="D72" s="323">
        <v>0.5</v>
      </c>
      <c r="E72" s="168">
        <v>2</v>
      </c>
      <c r="F72" s="386" t="s">
        <v>644</v>
      </c>
      <c r="G72" s="168"/>
      <c r="H72" s="219"/>
      <c r="I72" s="331"/>
      <c r="J72" s="221"/>
      <c r="K72" s="219"/>
      <c r="L72" s="219"/>
      <c r="M72" s="339">
        <v>1</v>
      </c>
      <c r="N72" s="322">
        <f t="shared" si="0"/>
        <v>1</v>
      </c>
    </row>
    <row r="73" spans="1:14" x14ac:dyDescent="0.3">
      <c r="A73" s="168">
        <v>590</v>
      </c>
      <c r="B73" s="225" t="s">
        <v>2246</v>
      </c>
      <c r="C73" s="168" t="s">
        <v>2225</v>
      </c>
      <c r="D73" s="323">
        <v>4</v>
      </c>
      <c r="E73" s="168"/>
      <c r="F73" s="168"/>
      <c r="G73" s="168"/>
      <c r="H73" s="219"/>
      <c r="I73" s="220"/>
      <c r="J73" s="221"/>
      <c r="K73" s="219"/>
      <c r="L73" s="219"/>
      <c r="M73" s="339">
        <v>1</v>
      </c>
      <c r="N73" s="322">
        <f t="shared" si="0"/>
        <v>4</v>
      </c>
    </row>
    <row r="74" spans="1:14" s="178" customFormat="1" x14ac:dyDescent="0.3">
      <c r="M74" s="660" t="s">
        <v>547</v>
      </c>
      <c r="N74" s="661">
        <f>SUM(N15:N73)</f>
        <v>1133.76</v>
      </c>
    </row>
    <row r="76" spans="1:14" s="178" customFormat="1" x14ac:dyDescent="0.3">
      <c r="A76" s="659" t="s">
        <v>544</v>
      </c>
      <c r="B76" s="659" t="s">
        <v>548</v>
      </c>
      <c r="C76" s="659" t="s">
        <v>549</v>
      </c>
      <c r="D76" s="659" t="s">
        <v>550</v>
      </c>
      <c r="E76" s="659" t="s">
        <v>551</v>
      </c>
      <c r="F76" s="659" t="s">
        <v>28</v>
      </c>
      <c r="G76" s="659" t="s">
        <v>552</v>
      </c>
      <c r="H76" s="659" t="s">
        <v>553</v>
      </c>
      <c r="I76" s="659" t="s">
        <v>547</v>
      </c>
    </row>
    <row r="77" spans="1:14" x14ac:dyDescent="0.3">
      <c r="A77" s="168">
        <v>10</v>
      </c>
      <c r="B77" s="285" t="s">
        <v>650</v>
      </c>
      <c r="C77" s="168" t="s">
        <v>2247</v>
      </c>
      <c r="D77" s="243">
        <v>0.15</v>
      </c>
      <c r="E77" s="180" t="s">
        <v>593</v>
      </c>
      <c r="F77" s="168">
        <v>6</v>
      </c>
      <c r="G77" s="168"/>
      <c r="H77" s="168">
        <v>1</v>
      </c>
      <c r="I77" s="323">
        <f>D77*F77*H77</f>
        <v>0.89999999999999991</v>
      </c>
    </row>
    <row r="78" spans="1:14" x14ac:dyDescent="0.3">
      <c r="A78" s="168">
        <v>20</v>
      </c>
      <c r="B78" s="285" t="s">
        <v>650</v>
      </c>
      <c r="C78" s="168" t="s">
        <v>2248</v>
      </c>
      <c r="D78" s="243">
        <v>0.15</v>
      </c>
      <c r="E78" s="180" t="s">
        <v>593</v>
      </c>
      <c r="F78" s="168">
        <v>2</v>
      </c>
      <c r="G78" s="168"/>
      <c r="H78" s="168">
        <v>1</v>
      </c>
      <c r="I78" s="323">
        <f>D78*F78*H78</f>
        <v>0.3</v>
      </c>
    </row>
    <row r="79" spans="1:14" x14ac:dyDescent="0.3">
      <c r="A79" s="168">
        <v>30</v>
      </c>
      <c r="B79" s="641" t="s">
        <v>762</v>
      </c>
      <c r="C79" s="168" t="s">
        <v>1909</v>
      </c>
      <c r="D79" s="688">
        <v>5.25</v>
      </c>
      <c r="E79" s="641" t="s">
        <v>627</v>
      </c>
      <c r="F79" s="168">
        <f>E15</f>
        <v>6.0000000000000001E-3</v>
      </c>
      <c r="G79" s="168"/>
      <c r="H79" s="168">
        <v>1</v>
      </c>
      <c r="I79" s="323">
        <f>D79*F79*H79</f>
        <v>3.15E-2</v>
      </c>
    </row>
    <row r="80" spans="1:14" x14ac:dyDescent="0.3">
      <c r="A80" s="168">
        <v>40</v>
      </c>
      <c r="B80" s="285" t="s">
        <v>2043</v>
      </c>
      <c r="C80" s="168" t="s">
        <v>2249</v>
      </c>
      <c r="D80" s="243">
        <v>0.08</v>
      </c>
      <c r="E80" s="180" t="s">
        <v>556</v>
      </c>
      <c r="F80" s="168">
        <v>23</v>
      </c>
      <c r="G80" s="168"/>
      <c r="H80" s="168">
        <v>1</v>
      </c>
      <c r="I80" s="323">
        <f t="shared" ref="I80:I109" si="1">D80*F80*H80</f>
        <v>1.84</v>
      </c>
    </row>
    <row r="81" spans="1:9" x14ac:dyDescent="0.3">
      <c r="A81" s="168">
        <v>50</v>
      </c>
      <c r="B81" s="168" t="s">
        <v>2045</v>
      </c>
      <c r="C81" s="168" t="s">
        <v>2046</v>
      </c>
      <c r="D81" s="186">
        <v>0.08</v>
      </c>
      <c r="E81" s="168" t="s">
        <v>556</v>
      </c>
      <c r="F81" s="168">
        <f>23*2</f>
        <v>46</v>
      </c>
      <c r="G81" s="168"/>
      <c r="H81" s="168">
        <v>1</v>
      </c>
      <c r="I81" s="323">
        <f t="shared" si="1"/>
        <v>3.68</v>
      </c>
    </row>
    <row r="82" spans="1:9" x14ac:dyDescent="0.3">
      <c r="A82" s="168">
        <v>60</v>
      </c>
      <c r="B82" s="285" t="s">
        <v>2043</v>
      </c>
      <c r="C82" s="168" t="s">
        <v>2250</v>
      </c>
      <c r="D82" s="243">
        <v>0.08</v>
      </c>
      <c r="E82" s="180" t="s">
        <v>556</v>
      </c>
      <c r="F82" s="168">
        <v>32</v>
      </c>
      <c r="G82" s="168"/>
      <c r="H82" s="168">
        <v>1</v>
      </c>
      <c r="I82" s="323">
        <f t="shared" si="1"/>
        <v>2.56</v>
      </c>
    </row>
    <row r="83" spans="1:9" x14ac:dyDescent="0.3">
      <c r="A83" s="168">
        <v>70</v>
      </c>
      <c r="B83" s="168" t="s">
        <v>2045</v>
      </c>
      <c r="C83" s="168" t="s">
        <v>2046</v>
      </c>
      <c r="D83" s="186">
        <v>0.08</v>
      </c>
      <c r="E83" s="168" t="s">
        <v>556</v>
      </c>
      <c r="F83" s="168">
        <v>64</v>
      </c>
      <c r="G83" s="168"/>
      <c r="H83" s="168">
        <v>1</v>
      </c>
      <c r="I83" s="323">
        <f t="shared" si="1"/>
        <v>5.12</v>
      </c>
    </row>
    <row r="84" spans="1:9" x14ac:dyDescent="0.3">
      <c r="A84" s="168">
        <v>80</v>
      </c>
      <c r="B84" s="285" t="s">
        <v>2043</v>
      </c>
      <c r="C84" s="168" t="s">
        <v>2251</v>
      </c>
      <c r="D84" s="243">
        <v>0.08</v>
      </c>
      <c r="E84" s="180" t="s">
        <v>556</v>
      </c>
      <c r="F84" s="168">
        <v>18</v>
      </c>
      <c r="G84" s="168"/>
      <c r="H84" s="168">
        <v>1</v>
      </c>
      <c r="I84" s="323">
        <f t="shared" si="1"/>
        <v>1.44</v>
      </c>
    </row>
    <row r="85" spans="1:9" x14ac:dyDescent="0.3">
      <c r="A85" s="168">
        <v>90</v>
      </c>
      <c r="B85" s="168" t="s">
        <v>2045</v>
      </c>
      <c r="C85" s="168" t="s">
        <v>2046</v>
      </c>
      <c r="D85" s="186">
        <v>0.08</v>
      </c>
      <c r="E85" s="168" t="s">
        <v>556</v>
      </c>
      <c r="F85" s="168">
        <v>36</v>
      </c>
      <c r="G85" s="168"/>
      <c r="H85" s="168">
        <v>1</v>
      </c>
      <c r="I85" s="323">
        <f t="shared" si="1"/>
        <v>2.88</v>
      </c>
    </row>
    <row r="86" spans="1:9" x14ac:dyDescent="0.3">
      <c r="A86" s="168">
        <v>100</v>
      </c>
      <c r="B86" s="285" t="s">
        <v>2043</v>
      </c>
      <c r="C86" s="168" t="s">
        <v>2252</v>
      </c>
      <c r="D86" s="243">
        <v>0.08</v>
      </c>
      <c r="E86" s="180" t="s">
        <v>556</v>
      </c>
      <c r="F86" s="168">
        <v>30</v>
      </c>
      <c r="G86" s="168"/>
      <c r="H86" s="168">
        <v>1</v>
      </c>
      <c r="I86" s="323">
        <f t="shared" si="1"/>
        <v>2.4</v>
      </c>
    </row>
    <row r="87" spans="1:9" x14ac:dyDescent="0.3">
      <c r="A87" s="168">
        <v>110</v>
      </c>
      <c r="B87" s="168" t="s">
        <v>2045</v>
      </c>
      <c r="C87" s="168" t="s">
        <v>2046</v>
      </c>
      <c r="D87" s="186">
        <v>0.08</v>
      </c>
      <c r="E87" s="168" t="s">
        <v>556</v>
      </c>
      <c r="F87" s="168">
        <v>60</v>
      </c>
      <c r="G87" s="168"/>
      <c r="H87" s="168">
        <v>1</v>
      </c>
      <c r="I87" s="323">
        <f t="shared" si="1"/>
        <v>4.8</v>
      </c>
    </row>
    <row r="88" spans="1:9" x14ac:dyDescent="0.3">
      <c r="A88" s="168">
        <v>120</v>
      </c>
      <c r="B88" s="180" t="s">
        <v>2047</v>
      </c>
      <c r="C88" s="168" t="s">
        <v>2048</v>
      </c>
      <c r="D88" s="689">
        <v>0.17</v>
      </c>
      <c r="E88" s="168" t="s">
        <v>556</v>
      </c>
      <c r="F88" s="168">
        <v>14</v>
      </c>
      <c r="G88" s="168"/>
      <c r="H88" s="168">
        <v>1</v>
      </c>
      <c r="I88" s="323">
        <f t="shared" si="1"/>
        <v>2.3800000000000003</v>
      </c>
    </row>
    <row r="89" spans="1:9" x14ac:dyDescent="0.3">
      <c r="A89" s="168">
        <v>130</v>
      </c>
      <c r="B89" s="168" t="s">
        <v>2162</v>
      </c>
      <c r="C89" s="171" t="s">
        <v>2253</v>
      </c>
      <c r="D89" s="664">
        <v>0.24</v>
      </c>
      <c r="E89" s="180" t="s">
        <v>2154</v>
      </c>
      <c r="F89" s="168">
        <v>18</v>
      </c>
      <c r="G89" s="168"/>
      <c r="H89" s="168">
        <v>1</v>
      </c>
      <c r="I89" s="323">
        <f t="shared" si="1"/>
        <v>4.32</v>
      </c>
    </row>
    <row r="90" spans="1:9" x14ac:dyDescent="0.3">
      <c r="A90" s="168">
        <v>140</v>
      </c>
      <c r="B90" s="285" t="s">
        <v>2152</v>
      </c>
      <c r="C90" s="171" t="s">
        <v>2254</v>
      </c>
      <c r="D90" s="689">
        <v>0.36</v>
      </c>
      <c r="E90" s="168" t="s">
        <v>2154</v>
      </c>
      <c r="F90" s="168">
        <v>207</v>
      </c>
      <c r="G90" s="168"/>
      <c r="H90" s="168">
        <v>1</v>
      </c>
      <c r="I90" s="323">
        <f t="shared" si="1"/>
        <v>74.52</v>
      </c>
    </row>
    <row r="91" spans="1:9" x14ac:dyDescent="0.3">
      <c r="A91" s="168">
        <v>150</v>
      </c>
      <c r="B91" s="180" t="s">
        <v>2051</v>
      </c>
      <c r="C91" s="168" t="s">
        <v>2255</v>
      </c>
      <c r="D91" s="664">
        <v>0.48</v>
      </c>
      <c r="E91" s="180" t="s">
        <v>556</v>
      </c>
      <c r="F91" s="168">
        <v>7</v>
      </c>
      <c r="G91" s="168"/>
      <c r="H91" s="168">
        <v>1</v>
      </c>
      <c r="I91" s="323">
        <f t="shared" si="1"/>
        <v>3.36</v>
      </c>
    </row>
    <row r="92" spans="1:9" x14ac:dyDescent="0.3">
      <c r="A92" s="168">
        <v>160</v>
      </c>
      <c r="B92" s="180" t="s">
        <v>2168</v>
      </c>
      <c r="C92" s="171" t="s">
        <v>2169</v>
      </c>
      <c r="D92" s="243">
        <v>0.52</v>
      </c>
      <c r="E92" s="180" t="s">
        <v>556</v>
      </c>
      <c r="F92" s="168">
        <v>30</v>
      </c>
      <c r="G92" s="168"/>
      <c r="H92" s="168">
        <v>1</v>
      </c>
      <c r="I92" s="323">
        <f t="shared" si="1"/>
        <v>15.600000000000001</v>
      </c>
    </row>
    <row r="93" spans="1:9" customFormat="1" x14ac:dyDescent="0.3">
      <c r="A93" s="168">
        <v>170</v>
      </c>
      <c r="B93" s="286" t="s">
        <v>2170</v>
      </c>
      <c r="C93" s="171" t="s">
        <v>2171</v>
      </c>
      <c r="D93" s="690">
        <v>0.06</v>
      </c>
      <c r="E93" s="179" t="s">
        <v>593</v>
      </c>
      <c r="F93" s="168">
        <v>1</v>
      </c>
      <c r="G93" s="184" t="s">
        <v>2256</v>
      </c>
      <c r="H93" s="168">
        <v>48</v>
      </c>
      <c r="I93" s="690">
        <f>D93*F93*H93</f>
        <v>2.88</v>
      </c>
    </row>
    <row r="94" spans="1:9" x14ac:dyDescent="0.3">
      <c r="A94" s="168">
        <v>180</v>
      </c>
      <c r="B94" s="180" t="s">
        <v>677</v>
      </c>
      <c r="C94" s="171" t="s">
        <v>2173</v>
      </c>
      <c r="D94" s="323">
        <v>0.15</v>
      </c>
      <c r="E94" s="180" t="s">
        <v>593</v>
      </c>
      <c r="F94" s="168">
        <v>200</v>
      </c>
      <c r="G94" s="168"/>
      <c r="H94" s="168">
        <v>1</v>
      </c>
      <c r="I94" s="323">
        <f t="shared" si="1"/>
        <v>30</v>
      </c>
    </row>
    <row r="95" spans="1:9" x14ac:dyDescent="0.3">
      <c r="A95" s="168">
        <v>190</v>
      </c>
      <c r="B95" s="180" t="s">
        <v>2049</v>
      </c>
      <c r="C95" s="171" t="s">
        <v>2174</v>
      </c>
      <c r="D95" s="243">
        <v>1</v>
      </c>
      <c r="E95" s="180" t="s">
        <v>644</v>
      </c>
      <c r="F95" s="168">
        <v>2.8</v>
      </c>
      <c r="G95" s="168"/>
      <c r="H95" s="168">
        <v>1</v>
      </c>
      <c r="I95" s="323">
        <f t="shared" si="1"/>
        <v>2.8</v>
      </c>
    </row>
    <row r="96" spans="1:9" x14ac:dyDescent="0.3">
      <c r="A96" s="168">
        <v>200</v>
      </c>
      <c r="B96" s="180" t="s">
        <v>2175</v>
      </c>
      <c r="C96" s="314" t="s">
        <v>2174</v>
      </c>
      <c r="D96" s="243">
        <v>0.02</v>
      </c>
      <c r="E96" s="180" t="s">
        <v>644</v>
      </c>
      <c r="F96" s="168">
        <v>2.6</v>
      </c>
      <c r="G96" s="168"/>
      <c r="H96" s="168">
        <v>1</v>
      </c>
      <c r="I96" s="323">
        <f t="shared" si="1"/>
        <v>5.2000000000000005E-2</v>
      </c>
    </row>
    <row r="97" spans="1:9" x14ac:dyDescent="0.3">
      <c r="A97" s="168">
        <v>210</v>
      </c>
      <c r="B97" s="180" t="s">
        <v>2257</v>
      </c>
      <c r="C97" s="314" t="s">
        <v>2258</v>
      </c>
      <c r="D97" s="243">
        <v>0.04</v>
      </c>
      <c r="E97" s="180" t="s">
        <v>593</v>
      </c>
      <c r="F97" s="168">
        <v>20</v>
      </c>
      <c r="G97" s="168"/>
      <c r="H97" s="168">
        <v>1</v>
      </c>
      <c r="I97" s="323">
        <f t="shared" si="1"/>
        <v>0.8</v>
      </c>
    </row>
    <row r="98" spans="1:9" x14ac:dyDescent="0.3">
      <c r="A98" s="168">
        <v>220</v>
      </c>
      <c r="B98" s="180" t="s">
        <v>2259</v>
      </c>
      <c r="C98" s="314" t="s">
        <v>2260</v>
      </c>
      <c r="D98" s="243">
        <v>0.03</v>
      </c>
      <c r="E98" s="180" t="s">
        <v>644</v>
      </c>
      <c r="F98" s="168">
        <v>1</v>
      </c>
      <c r="G98" s="168"/>
      <c r="H98" s="168">
        <v>1</v>
      </c>
      <c r="I98" s="323">
        <f t="shared" si="1"/>
        <v>0.03</v>
      </c>
    </row>
    <row r="99" spans="1:9" x14ac:dyDescent="0.3">
      <c r="A99" s="168">
        <v>230</v>
      </c>
      <c r="B99" s="180" t="s">
        <v>2176</v>
      </c>
      <c r="C99" s="314" t="s">
        <v>2261</v>
      </c>
      <c r="D99" s="243">
        <v>0.09</v>
      </c>
      <c r="E99" s="180" t="s">
        <v>556</v>
      </c>
      <c r="F99" s="168">
        <v>16</v>
      </c>
      <c r="G99" s="168"/>
      <c r="H99" s="168">
        <v>1</v>
      </c>
      <c r="I99" s="323">
        <f t="shared" si="1"/>
        <v>1.44</v>
      </c>
    </row>
    <row r="100" spans="1:9" x14ac:dyDescent="0.3">
      <c r="A100" s="168">
        <v>240</v>
      </c>
      <c r="B100" s="180" t="s">
        <v>557</v>
      </c>
      <c r="C100" s="314" t="s">
        <v>2262</v>
      </c>
      <c r="D100" s="243">
        <v>0.06</v>
      </c>
      <c r="E100" s="180" t="s">
        <v>556</v>
      </c>
      <c r="F100" s="168">
        <v>1</v>
      </c>
      <c r="G100" s="168"/>
      <c r="H100" s="672">
        <v>1</v>
      </c>
      <c r="I100" s="323">
        <f t="shared" si="1"/>
        <v>0.06</v>
      </c>
    </row>
    <row r="101" spans="1:9" x14ac:dyDescent="0.3">
      <c r="A101" s="168">
        <v>250</v>
      </c>
      <c r="B101" s="180" t="s">
        <v>659</v>
      </c>
      <c r="C101" s="314" t="s">
        <v>2263</v>
      </c>
      <c r="D101" s="243">
        <v>0.5</v>
      </c>
      <c r="E101" s="180" t="s">
        <v>556</v>
      </c>
      <c r="F101" s="168">
        <v>4</v>
      </c>
      <c r="G101" s="168"/>
      <c r="H101" s="672">
        <v>1</v>
      </c>
      <c r="I101" s="323">
        <f t="shared" si="1"/>
        <v>2</v>
      </c>
    </row>
    <row r="102" spans="1:9" x14ac:dyDescent="0.3">
      <c r="A102" s="168">
        <v>260</v>
      </c>
      <c r="B102" s="180" t="s">
        <v>660</v>
      </c>
      <c r="C102" s="314" t="s">
        <v>2264</v>
      </c>
      <c r="D102" s="243">
        <v>0.25</v>
      </c>
      <c r="E102" s="180" t="s">
        <v>556</v>
      </c>
      <c r="F102" s="168">
        <v>4</v>
      </c>
      <c r="G102" s="168"/>
      <c r="H102" s="672">
        <v>1</v>
      </c>
      <c r="I102" s="323">
        <f t="shared" si="1"/>
        <v>1</v>
      </c>
    </row>
    <row r="103" spans="1:9" x14ac:dyDescent="0.3">
      <c r="A103" s="168">
        <v>270</v>
      </c>
      <c r="B103" s="180" t="s">
        <v>2265</v>
      </c>
      <c r="C103" s="314" t="s">
        <v>2266</v>
      </c>
      <c r="D103" s="243">
        <v>0.1</v>
      </c>
      <c r="E103" s="180" t="s">
        <v>556</v>
      </c>
      <c r="F103" s="168">
        <v>1</v>
      </c>
      <c r="G103" s="168"/>
      <c r="H103" s="672">
        <v>1</v>
      </c>
      <c r="I103" s="323">
        <f t="shared" si="1"/>
        <v>0.1</v>
      </c>
    </row>
    <row r="104" spans="1:9" x14ac:dyDescent="0.3">
      <c r="A104" s="168">
        <v>280</v>
      </c>
      <c r="B104" s="180" t="s">
        <v>557</v>
      </c>
      <c r="C104" s="314" t="s">
        <v>2267</v>
      </c>
      <c r="D104" s="243">
        <v>0.06</v>
      </c>
      <c r="E104" s="180" t="s">
        <v>556</v>
      </c>
      <c r="F104" s="168">
        <v>1</v>
      </c>
      <c r="G104" s="168"/>
      <c r="H104" s="672">
        <v>1</v>
      </c>
      <c r="I104" s="323">
        <f t="shared" si="1"/>
        <v>0.06</v>
      </c>
    </row>
    <row r="105" spans="1:9" x14ac:dyDescent="0.3">
      <c r="A105" s="168">
        <v>290</v>
      </c>
      <c r="B105" s="180" t="s">
        <v>557</v>
      </c>
      <c r="C105" s="314" t="s">
        <v>2268</v>
      </c>
      <c r="D105" s="243">
        <v>0.06</v>
      </c>
      <c r="E105" s="180" t="s">
        <v>556</v>
      </c>
      <c r="F105" s="168">
        <v>1</v>
      </c>
      <c r="G105" s="168"/>
      <c r="H105" s="672">
        <v>1</v>
      </c>
      <c r="I105" s="323">
        <f t="shared" si="1"/>
        <v>0.06</v>
      </c>
    </row>
    <row r="106" spans="1:9" x14ac:dyDescent="0.3">
      <c r="A106" s="168">
        <v>300</v>
      </c>
      <c r="B106" s="180" t="s">
        <v>659</v>
      </c>
      <c r="C106" s="314" t="s">
        <v>2269</v>
      </c>
      <c r="D106" s="243">
        <v>0.5</v>
      </c>
      <c r="E106" s="180" t="s">
        <v>556</v>
      </c>
      <c r="F106" s="168">
        <v>3</v>
      </c>
      <c r="G106" s="168"/>
      <c r="H106" s="672">
        <v>1</v>
      </c>
      <c r="I106" s="323">
        <f t="shared" si="1"/>
        <v>1.5</v>
      </c>
    </row>
    <row r="107" spans="1:9" x14ac:dyDescent="0.3">
      <c r="A107" s="168">
        <v>310</v>
      </c>
      <c r="B107" s="180" t="s">
        <v>557</v>
      </c>
      <c r="C107" s="314" t="s">
        <v>2270</v>
      </c>
      <c r="D107" s="243">
        <v>0.06</v>
      </c>
      <c r="E107" s="180" t="s">
        <v>556</v>
      </c>
      <c r="F107" s="168">
        <v>1</v>
      </c>
      <c r="G107" s="168"/>
      <c r="H107" s="672">
        <v>1</v>
      </c>
      <c r="I107" s="323">
        <f t="shared" si="1"/>
        <v>0.06</v>
      </c>
    </row>
    <row r="108" spans="1:9" x14ac:dyDescent="0.3">
      <c r="A108" s="168">
        <v>320</v>
      </c>
      <c r="B108" s="180" t="s">
        <v>659</v>
      </c>
      <c r="C108" s="314" t="s">
        <v>2271</v>
      </c>
      <c r="D108" s="243">
        <v>0.5</v>
      </c>
      <c r="E108" s="180" t="s">
        <v>556</v>
      </c>
      <c r="F108" s="168">
        <v>2</v>
      </c>
      <c r="G108" s="168"/>
      <c r="H108" s="672">
        <v>1</v>
      </c>
      <c r="I108" s="323">
        <f t="shared" si="1"/>
        <v>1</v>
      </c>
    </row>
    <row r="109" spans="1:9" x14ac:dyDescent="0.3">
      <c r="A109" s="168">
        <v>330</v>
      </c>
      <c r="B109" s="180" t="s">
        <v>660</v>
      </c>
      <c r="C109" s="314" t="s">
        <v>2272</v>
      </c>
      <c r="D109" s="243">
        <v>0.25</v>
      </c>
      <c r="E109" s="180" t="s">
        <v>556</v>
      </c>
      <c r="F109" s="168">
        <v>2</v>
      </c>
      <c r="G109" s="168"/>
      <c r="H109" s="672">
        <v>1</v>
      </c>
      <c r="I109" s="323">
        <f t="shared" si="1"/>
        <v>0.5</v>
      </c>
    </row>
    <row r="110" spans="1:9" x14ac:dyDescent="0.3">
      <c r="A110" s="168">
        <v>340</v>
      </c>
      <c r="B110" s="180" t="s">
        <v>557</v>
      </c>
      <c r="C110" s="314" t="s">
        <v>2273</v>
      </c>
      <c r="D110" s="243">
        <v>0.06</v>
      </c>
      <c r="E110" s="180" t="s">
        <v>556</v>
      </c>
      <c r="F110" s="168">
        <v>1</v>
      </c>
      <c r="G110" s="168"/>
      <c r="H110" s="672">
        <v>1</v>
      </c>
      <c r="I110" s="323">
        <f>D110*F110*H110</f>
        <v>0.06</v>
      </c>
    </row>
    <row r="111" spans="1:9" x14ac:dyDescent="0.3">
      <c r="A111" s="168">
        <v>350</v>
      </c>
      <c r="B111" s="180" t="s">
        <v>659</v>
      </c>
      <c r="C111" s="314" t="s">
        <v>2274</v>
      </c>
      <c r="D111" s="243">
        <v>0.5</v>
      </c>
      <c r="E111" s="180" t="s">
        <v>556</v>
      </c>
      <c r="F111" s="168">
        <v>2</v>
      </c>
      <c r="G111" s="168"/>
      <c r="H111" s="168">
        <v>1</v>
      </c>
      <c r="I111" s="323">
        <f>D111*F111*H111</f>
        <v>1</v>
      </c>
    </row>
    <row r="112" spans="1:9" x14ac:dyDescent="0.3">
      <c r="A112" s="168">
        <v>360</v>
      </c>
      <c r="B112" s="180" t="s">
        <v>749</v>
      </c>
      <c r="C112" s="314" t="s">
        <v>2292</v>
      </c>
      <c r="D112" s="243">
        <v>0.13</v>
      </c>
      <c r="E112" s="180" t="s">
        <v>556</v>
      </c>
      <c r="F112" s="168">
        <v>1</v>
      </c>
      <c r="G112" s="168"/>
      <c r="H112" s="672">
        <v>1</v>
      </c>
      <c r="I112" s="323">
        <f>D112*F112*H112</f>
        <v>0.13</v>
      </c>
    </row>
    <row r="113" spans="1:10" x14ac:dyDescent="0.3">
      <c r="A113" s="168">
        <v>370</v>
      </c>
      <c r="B113" s="180" t="s">
        <v>2275</v>
      </c>
      <c r="C113" s="171" t="s">
        <v>2276</v>
      </c>
      <c r="D113" s="664">
        <v>0.17</v>
      </c>
      <c r="E113" s="180" t="s">
        <v>556</v>
      </c>
      <c r="F113" s="168">
        <v>35</v>
      </c>
      <c r="G113" s="168"/>
      <c r="H113" s="168">
        <v>1</v>
      </c>
      <c r="I113" s="323">
        <f>D113*F113*H113</f>
        <v>5.95</v>
      </c>
    </row>
    <row r="114" spans="1:10" s="178" customFormat="1" x14ac:dyDescent="0.3">
      <c r="B114" s="161"/>
      <c r="H114" s="673" t="s">
        <v>547</v>
      </c>
      <c r="I114" s="661">
        <f>SUM(I77:I113)</f>
        <v>177.61349999999999</v>
      </c>
    </row>
    <row r="116" spans="1:10" s="178" customFormat="1" x14ac:dyDescent="0.3">
      <c r="A116" s="691" t="s">
        <v>544</v>
      </c>
      <c r="B116" s="659" t="s">
        <v>566</v>
      </c>
      <c r="C116" s="692" t="s">
        <v>549</v>
      </c>
      <c r="D116" s="659" t="s">
        <v>550</v>
      </c>
      <c r="E116" s="659" t="s">
        <v>567</v>
      </c>
      <c r="F116" s="659" t="s">
        <v>568</v>
      </c>
      <c r="G116" s="659" t="s">
        <v>569</v>
      </c>
      <c r="H116" s="659" t="s">
        <v>570</v>
      </c>
      <c r="I116" s="659" t="s">
        <v>28</v>
      </c>
      <c r="J116" s="659" t="s">
        <v>547</v>
      </c>
    </row>
    <row r="117" spans="1:10" x14ac:dyDescent="0.3">
      <c r="A117" s="168">
        <v>10</v>
      </c>
      <c r="B117" s="168" t="s">
        <v>684</v>
      </c>
      <c r="C117" s="168" t="s">
        <v>2277</v>
      </c>
      <c r="D117" s="243">
        <v>0.04</v>
      </c>
      <c r="E117" s="168">
        <v>6</v>
      </c>
      <c r="F117" s="245" t="s">
        <v>573</v>
      </c>
      <c r="G117" s="168">
        <v>16</v>
      </c>
      <c r="H117" s="171" t="s">
        <v>573</v>
      </c>
      <c r="I117" s="327">
        <v>5</v>
      </c>
      <c r="J117" s="323">
        <f t="shared" ref="J117:J125" si="2">D117*I117</f>
        <v>0.2</v>
      </c>
    </row>
    <row r="118" spans="1:10" x14ac:dyDescent="0.3">
      <c r="A118" s="168">
        <v>20</v>
      </c>
      <c r="B118" s="675" t="s">
        <v>618</v>
      </c>
      <c r="C118" s="168" t="s">
        <v>2278</v>
      </c>
      <c r="D118" s="323">
        <v>0.03</v>
      </c>
      <c r="E118" s="168">
        <v>6</v>
      </c>
      <c r="F118" s="245" t="s">
        <v>573</v>
      </c>
      <c r="G118" s="168"/>
      <c r="H118" s="171"/>
      <c r="I118" s="327">
        <v>3</v>
      </c>
      <c r="J118" s="323">
        <f t="shared" si="2"/>
        <v>0.09</v>
      </c>
    </row>
    <row r="119" spans="1:10" x14ac:dyDescent="0.3">
      <c r="A119" s="168">
        <v>30</v>
      </c>
      <c r="B119" s="675" t="s">
        <v>618</v>
      </c>
      <c r="C119" s="168" t="s">
        <v>2279</v>
      </c>
      <c r="D119" s="323">
        <v>0.03</v>
      </c>
      <c r="E119" s="168">
        <v>6</v>
      </c>
      <c r="F119" s="245" t="s">
        <v>573</v>
      </c>
      <c r="G119" s="168"/>
      <c r="H119" s="171"/>
      <c r="I119" s="327">
        <v>2</v>
      </c>
      <c r="J119" s="323">
        <f t="shared" si="2"/>
        <v>0.06</v>
      </c>
    </row>
    <row r="120" spans="1:10" x14ac:dyDescent="0.3">
      <c r="A120" s="168">
        <v>40</v>
      </c>
      <c r="B120" s="675" t="s">
        <v>574</v>
      </c>
      <c r="C120" s="168" t="s">
        <v>2280</v>
      </c>
      <c r="D120" s="243">
        <v>0.01</v>
      </c>
      <c r="E120" s="168">
        <v>6</v>
      </c>
      <c r="F120" s="245" t="s">
        <v>573</v>
      </c>
      <c r="G120" s="168"/>
      <c r="H120" s="171"/>
      <c r="I120" s="327">
        <v>7</v>
      </c>
      <c r="J120" s="323">
        <f t="shared" si="2"/>
        <v>7.0000000000000007E-2</v>
      </c>
    </row>
    <row r="121" spans="1:10" x14ac:dyDescent="0.3">
      <c r="A121" s="168">
        <v>50</v>
      </c>
      <c r="B121" s="168" t="s">
        <v>684</v>
      </c>
      <c r="C121" s="168" t="s">
        <v>2281</v>
      </c>
      <c r="D121" s="243">
        <v>0.02</v>
      </c>
      <c r="E121" s="168">
        <v>4</v>
      </c>
      <c r="F121" s="245" t="s">
        <v>573</v>
      </c>
      <c r="G121" s="168">
        <v>15</v>
      </c>
      <c r="H121" s="171" t="s">
        <v>573</v>
      </c>
      <c r="I121" s="327">
        <v>5</v>
      </c>
      <c r="J121" s="323">
        <f t="shared" si="2"/>
        <v>0.1</v>
      </c>
    </row>
    <row r="122" spans="1:10" x14ac:dyDescent="0.3">
      <c r="A122" s="168">
        <v>60</v>
      </c>
      <c r="B122" s="675" t="s">
        <v>618</v>
      </c>
      <c r="C122" s="168" t="s">
        <v>2281</v>
      </c>
      <c r="D122" s="323">
        <v>0.02</v>
      </c>
      <c r="E122" s="168">
        <v>6</v>
      </c>
      <c r="F122" s="245" t="s">
        <v>573</v>
      </c>
      <c r="G122" s="168"/>
      <c r="H122" s="171"/>
      <c r="I122" s="327">
        <v>3</v>
      </c>
      <c r="J122" s="323">
        <f t="shared" si="2"/>
        <v>0.06</v>
      </c>
    </row>
    <row r="123" spans="1:10" x14ac:dyDescent="0.3">
      <c r="A123" s="168">
        <v>70</v>
      </c>
      <c r="B123" s="675" t="s">
        <v>618</v>
      </c>
      <c r="C123" s="168" t="s">
        <v>2274</v>
      </c>
      <c r="D123" s="323">
        <v>0.02</v>
      </c>
      <c r="E123" s="168">
        <v>5</v>
      </c>
      <c r="F123" s="245" t="s">
        <v>573</v>
      </c>
      <c r="G123" s="168"/>
      <c r="H123" s="171"/>
      <c r="I123" s="327">
        <v>2</v>
      </c>
      <c r="J123" s="323">
        <f>D123*I123</f>
        <v>0.04</v>
      </c>
    </row>
    <row r="124" spans="1:10" x14ac:dyDescent="0.3">
      <c r="A124" s="168">
        <v>80</v>
      </c>
      <c r="B124" s="675" t="s">
        <v>574</v>
      </c>
      <c r="C124" s="168" t="s">
        <v>2282</v>
      </c>
      <c r="D124" s="243">
        <v>0.01</v>
      </c>
      <c r="E124" s="168">
        <v>5</v>
      </c>
      <c r="F124" s="245" t="s">
        <v>573</v>
      </c>
      <c r="G124" s="168"/>
      <c r="H124" s="171"/>
      <c r="I124" s="327">
        <v>4</v>
      </c>
      <c r="J124" s="323">
        <f>D124*I124</f>
        <v>0.04</v>
      </c>
    </row>
    <row r="125" spans="1:10" x14ac:dyDescent="0.3">
      <c r="A125" s="168">
        <v>90</v>
      </c>
      <c r="B125" s="225" t="s">
        <v>689</v>
      </c>
      <c r="C125" s="168" t="s">
        <v>2283</v>
      </c>
      <c r="D125" s="665">
        <v>0.04</v>
      </c>
      <c r="E125" s="168"/>
      <c r="F125" s="245"/>
      <c r="G125" s="168"/>
      <c r="H125" s="171"/>
      <c r="I125" s="327">
        <v>16</v>
      </c>
      <c r="J125" s="323">
        <f t="shared" si="2"/>
        <v>0.64</v>
      </c>
    </row>
    <row r="126" spans="1:10" s="178" customFormat="1" x14ac:dyDescent="0.3">
      <c r="I126" s="660" t="s">
        <v>547</v>
      </c>
      <c r="J126" s="661">
        <f>SUM(J117:J125)</f>
        <v>1.3000000000000003</v>
      </c>
    </row>
    <row r="127" spans="1:10" x14ac:dyDescent="0.3">
      <c r="H127" s="326"/>
      <c r="I127" s="325"/>
    </row>
    <row r="128" spans="1:10" s="178" customFormat="1" x14ac:dyDescent="0.3">
      <c r="A128" s="659" t="s">
        <v>544</v>
      </c>
      <c r="B128" s="659" t="s">
        <v>6</v>
      </c>
      <c r="C128" s="659" t="s">
        <v>549</v>
      </c>
      <c r="D128" s="659" t="s">
        <v>550</v>
      </c>
      <c r="E128" s="659" t="s">
        <v>551</v>
      </c>
      <c r="F128" s="659" t="s">
        <v>28</v>
      </c>
      <c r="G128" s="659" t="s">
        <v>691</v>
      </c>
      <c r="H128" s="659" t="s">
        <v>736</v>
      </c>
      <c r="I128" s="659" t="s">
        <v>547</v>
      </c>
    </row>
    <row r="129" spans="1:9" x14ac:dyDescent="0.3">
      <c r="A129" s="168">
        <v>10</v>
      </c>
      <c r="B129" s="272" t="s">
        <v>693</v>
      </c>
      <c r="C129" s="168" t="s">
        <v>2284</v>
      </c>
      <c r="D129" s="323">
        <v>500</v>
      </c>
      <c r="E129" s="168" t="s">
        <v>695</v>
      </c>
      <c r="F129" s="168">
        <v>12</v>
      </c>
      <c r="G129" s="168">
        <v>3000</v>
      </c>
      <c r="H129" s="168">
        <v>1</v>
      </c>
      <c r="I129" s="322">
        <f>D129*F129/G129*H129</f>
        <v>2</v>
      </c>
    </row>
    <row r="130" spans="1:9" s="178" customFormat="1" x14ac:dyDescent="0.3">
      <c r="H130" s="660" t="s">
        <v>547</v>
      </c>
      <c r="I130" s="661">
        <f>SUM(I129:I129)</f>
        <v>2</v>
      </c>
    </row>
    <row r="132" spans="1:9" x14ac:dyDescent="0.3">
      <c r="B132" s="687"/>
    </row>
  </sheetData>
  <pageMargins left="0.5" right="0.5" top="0.75" bottom="0.75" header="0.3" footer="0.3"/>
  <pageSetup paperSize="9" scale="26" orientation="landscape" r:id="rId1"/>
</worksheet>
</file>

<file path=xl/worksheets/sheet2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2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4.33203125" style="161" customWidth="1"/>
    <col min="3" max="3" width="29.6640625" style="161" customWidth="1"/>
    <col min="4" max="4" width="13.5546875" style="161" bestFit="1" customWidth="1"/>
    <col min="5" max="5" width="9.5546875" style="161" customWidth="1"/>
    <col min="6" max="6" width="10.6640625" style="161" customWidth="1"/>
    <col min="7" max="7" width="30" style="161" customWidth="1"/>
    <col min="8" max="8" width="10.44140625" style="161" customWidth="1"/>
    <col min="9" max="9" width="19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109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N11+I16</f>
        <v>0.92058733333333342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3</v>
      </c>
    </row>
    <row r="3" spans="1:14" x14ac:dyDescent="0.3">
      <c r="A3" s="666" t="s">
        <v>534</v>
      </c>
      <c r="B3" s="161" t="s">
        <v>2194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2196</v>
      </c>
      <c r="D4" s="666" t="s">
        <v>541</v>
      </c>
      <c r="J4" s="666" t="s">
        <v>538</v>
      </c>
      <c r="M4" s="666" t="s">
        <v>539</v>
      </c>
      <c r="N4" s="336">
        <f>N1*N2</f>
        <v>2.7617620000000001</v>
      </c>
    </row>
    <row r="5" spans="1:14" x14ac:dyDescent="0.3">
      <c r="A5" s="666" t="s">
        <v>537</v>
      </c>
      <c r="B5" s="199" t="s">
        <v>304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  <c r="B7" s="161" t="s">
        <v>2101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68">
        <v>10</v>
      </c>
      <c r="B10" s="168" t="s">
        <v>697</v>
      </c>
      <c r="C10" s="168" t="s">
        <v>1891</v>
      </c>
      <c r="D10" s="302">
        <v>2.25</v>
      </c>
      <c r="E10" s="168">
        <v>40</v>
      </c>
      <c r="F10" s="168" t="s">
        <v>573</v>
      </c>
      <c r="G10" s="168">
        <v>40</v>
      </c>
      <c r="H10" s="219" t="s">
        <v>573</v>
      </c>
      <c r="I10" s="269" t="s">
        <v>2183</v>
      </c>
      <c r="J10" s="228">
        <f>E10*G10/1000000</f>
        <v>1.6000000000000001E-3</v>
      </c>
      <c r="K10" s="228">
        <v>1.5E-3</v>
      </c>
      <c r="L10" s="219">
        <v>8010</v>
      </c>
      <c r="M10" s="339">
        <v>1</v>
      </c>
      <c r="N10" s="322">
        <f>IF(J10="",D10*M10,D10*J10*K10*L10*M10)</f>
        <v>4.3254000000000008E-2</v>
      </c>
    </row>
    <row r="11" spans="1:14" s="178" customFormat="1" x14ac:dyDescent="0.3">
      <c r="M11" s="669" t="s">
        <v>547</v>
      </c>
      <c r="N11" s="670">
        <f>SUM(N10:N10)</f>
        <v>4.3254000000000008E-2</v>
      </c>
    </row>
    <row r="13" spans="1:14" s="178" customFormat="1" x14ac:dyDescent="0.3">
      <c r="A13" s="668" t="s">
        <v>544</v>
      </c>
      <c r="B13" s="668" t="s">
        <v>548</v>
      </c>
      <c r="C13" s="668" t="s">
        <v>549</v>
      </c>
      <c r="D13" s="668" t="s">
        <v>550</v>
      </c>
      <c r="E13" s="668" t="s">
        <v>551</v>
      </c>
      <c r="F13" s="668" t="s">
        <v>28</v>
      </c>
      <c r="G13" s="668" t="s">
        <v>552</v>
      </c>
      <c r="H13" s="668" t="s">
        <v>553</v>
      </c>
      <c r="I13" s="668" t="s">
        <v>547</v>
      </c>
    </row>
    <row r="14" spans="1:14" s="248" customFormat="1" ht="28.8" x14ac:dyDescent="0.3">
      <c r="A14" s="184">
        <v>10</v>
      </c>
      <c r="B14" s="180" t="s">
        <v>589</v>
      </c>
      <c r="C14" s="184" t="s">
        <v>699</v>
      </c>
      <c r="D14" s="362">
        <v>1.3</v>
      </c>
      <c r="E14" s="184" t="s">
        <v>556</v>
      </c>
      <c r="F14" s="184">
        <v>1</v>
      </c>
      <c r="G14" s="184" t="s">
        <v>2285</v>
      </c>
      <c r="H14" s="677">
        <f>1/3</f>
        <v>0.33333333333333331</v>
      </c>
      <c r="I14" s="362">
        <f>IF('EL 04001'!$H14&lt;&gt;"",'EL 04001'!$D14*'EL 04001'!$F14*'EL 04001'!$H14,'EL 04001'!$D14*'EL 04001'!$F14)</f>
        <v>0.43333333333333335</v>
      </c>
    </row>
    <row r="15" spans="1:14" x14ac:dyDescent="0.3">
      <c r="A15" s="168">
        <v>20</v>
      </c>
      <c r="B15" s="171" t="s">
        <v>700</v>
      </c>
      <c r="C15" s="171" t="s">
        <v>2286</v>
      </c>
      <c r="D15" s="323">
        <v>0.01</v>
      </c>
      <c r="E15" s="168" t="s">
        <v>593</v>
      </c>
      <c r="F15" s="168">
        <v>14.8</v>
      </c>
      <c r="G15" s="168" t="s">
        <v>598</v>
      </c>
      <c r="H15" s="168">
        <v>3</v>
      </c>
      <c r="I15" s="323">
        <f>IF('EL 04001'!$H15&lt;&gt;"",'EL 04001'!$D15*'EL 04001'!$F15*'EL 04001'!$H15,'EL 04001'!$D15*'EL 04001'!$F15)</f>
        <v>0.44400000000000006</v>
      </c>
    </row>
    <row r="16" spans="1:14" s="178" customFormat="1" x14ac:dyDescent="0.3">
      <c r="H16" s="669" t="s">
        <v>547</v>
      </c>
      <c r="I16" s="670">
        <f>SUM(I14:I15)</f>
        <v>0.87733333333333341</v>
      </c>
    </row>
    <row r="26" spans="2:2" x14ac:dyDescent="0.3">
      <c r="B26" s="256"/>
    </row>
  </sheetData>
  <pageMargins left="0.5" right="0.5" top="0.75" bottom="0.75" header="0.3" footer="0.3"/>
  <pageSetup paperSize="9" scale="58" orientation="landscape" r:id="rId1"/>
</worksheet>
</file>

<file path=xl/worksheets/sheet2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2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8.44140625" style="161" customWidth="1"/>
    <col min="3" max="3" width="24.664062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1.5546875" style="161" customWidth="1"/>
    <col min="8" max="8" width="10.44140625" style="161" customWidth="1"/>
    <col min="9" max="9" width="19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N11+I17</f>
        <v>3.3036500000000002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1</v>
      </c>
    </row>
    <row r="3" spans="1:14" x14ac:dyDescent="0.3">
      <c r="A3" s="666" t="s">
        <v>534</v>
      </c>
      <c r="B3" s="161" t="s">
        <v>2194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2287</v>
      </c>
      <c r="D4" s="666" t="s">
        <v>541</v>
      </c>
      <c r="J4" s="666" t="s">
        <v>538</v>
      </c>
      <c r="M4" s="666" t="s">
        <v>539</v>
      </c>
      <c r="N4" s="336">
        <f>N1*N2</f>
        <v>3.3036500000000002</v>
      </c>
    </row>
    <row r="5" spans="1:14" x14ac:dyDescent="0.3">
      <c r="A5" s="666" t="s">
        <v>537</v>
      </c>
      <c r="B5" s="199" t="s">
        <v>305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  <c r="B7" s="161" t="s">
        <v>2288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84">
        <v>10</v>
      </c>
      <c r="B10" s="184" t="s">
        <v>720</v>
      </c>
      <c r="C10" s="184" t="s">
        <v>1104</v>
      </c>
      <c r="D10" s="307">
        <v>4.2</v>
      </c>
      <c r="E10" s="184">
        <v>250</v>
      </c>
      <c r="F10" s="184" t="s">
        <v>573</v>
      </c>
      <c r="G10" s="184">
        <v>200</v>
      </c>
      <c r="H10" s="268" t="s">
        <v>573</v>
      </c>
      <c r="I10" s="269" t="s">
        <v>2289</v>
      </c>
      <c r="J10" s="276">
        <f>E10*G10/1000000</f>
        <v>0.05</v>
      </c>
      <c r="K10" s="276">
        <v>1.5E-3</v>
      </c>
      <c r="L10" s="268">
        <v>2710</v>
      </c>
      <c r="M10" s="365">
        <v>1</v>
      </c>
      <c r="N10" s="363">
        <f>IF(J10="",D10*M10,D10*J10*K10*L10*M10)</f>
        <v>0.85365000000000002</v>
      </c>
    </row>
    <row r="11" spans="1:14" s="178" customFormat="1" x14ac:dyDescent="0.3">
      <c r="M11" s="669" t="s">
        <v>547</v>
      </c>
      <c r="N11" s="670">
        <f>SUM(N10:N10)</f>
        <v>0.85365000000000002</v>
      </c>
    </row>
    <row r="13" spans="1:14" s="178" customFormat="1" x14ac:dyDescent="0.3">
      <c r="A13" s="668" t="s">
        <v>544</v>
      </c>
      <c r="B13" s="668" t="s">
        <v>548</v>
      </c>
      <c r="C13" s="668" t="s">
        <v>549</v>
      </c>
      <c r="D13" s="668" t="s">
        <v>550</v>
      </c>
      <c r="E13" s="668" t="s">
        <v>551</v>
      </c>
      <c r="F13" s="668" t="s">
        <v>28</v>
      </c>
      <c r="G13" s="668" t="s">
        <v>552</v>
      </c>
      <c r="H13" s="668" t="s">
        <v>553</v>
      </c>
      <c r="I13" s="668" t="s">
        <v>547</v>
      </c>
    </row>
    <row r="14" spans="1:14" ht="28.8" x14ac:dyDescent="0.3">
      <c r="A14" s="168">
        <v>10</v>
      </c>
      <c r="B14" s="180" t="s">
        <v>589</v>
      </c>
      <c r="C14" s="184" t="s">
        <v>699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D14*F14</f>
        <v>1.3</v>
      </c>
    </row>
    <row r="15" spans="1:14" x14ac:dyDescent="0.3">
      <c r="A15" s="168">
        <v>20</v>
      </c>
      <c r="B15" s="171" t="s">
        <v>700</v>
      </c>
      <c r="C15" s="171" t="s">
        <v>592</v>
      </c>
      <c r="D15" s="323">
        <v>0.01</v>
      </c>
      <c r="E15" s="168" t="s">
        <v>593</v>
      </c>
      <c r="F15" s="168">
        <f>25+25+20+20</f>
        <v>90</v>
      </c>
      <c r="G15" s="168" t="s">
        <v>710</v>
      </c>
      <c r="H15" s="168">
        <v>1</v>
      </c>
      <c r="I15" s="323">
        <f>IF('EL 04002'!$H15&lt;&gt;"",'EL 04002'!$D15*'EL 04002'!$F15*'EL 04002'!$H15,'EL 04002'!$D15*'EL 04002'!$F15)</f>
        <v>0.9</v>
      </c>
    </row>
    <row r="16" spans="1:14" x14ac:dyDescent="0.3">
      <c r="A16" s="168">
        <v>30</v>
      </c>
      <c r="B16" s="180" t="s">
        <v>702</v>
      </c>
      <c r="C16" s="171" t="s">
        <v>2290</v>
      </c>
      <c r="D16" s="323">
        <v>0.25</v>
      </c>
      <c r="E16" s="168" t="s">
        <v>704</v>
      </c>
      <c r="F16" s="168">
        <v>1</v>
      </c>
      <c r="G16" s="168"/>
      <c r="H16" s="168">
        <v>1</v>
      </c>
      <c r="I16" s="323">
        <f>IF('EL 04002'!$H16&lt;&gt;"",'EL 04002'!$D16*'EL 04002'!$F16*'EL 04002'!$H16,'EL 04002'!$D16*'EL 04002'!$F16)</f>
        <v>0.25</v>
      </c>
    </row>
    <row r="17" spans="2:9" s="178" customFormat="1" x14ac:dyDescent="0.3">
      <c r="H17" s="669" t="s">
        <v>547</v>
      </c>
      <c r="I17" s="670">
        <f>SUM(I14:I16)</f>
        <v>2.4500000000000002</v>
      </c>
    </row>
    <row r="26" spans="2:9" x14ac:dyDescent="0.3">
      <c r="B26" s="256"/>
    </row>
  </sheetData>
  <pageMargins left="0.5" right="0.5" top="0.75" bottom="0.75" header="0.3" footer="0.3"/>
  <pageSetup paperSize="9" scale="59" orientation="landscape" r:id="rId1"/>
</worksheet>
</file>

<file path=xl/worksheets/sheet2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N2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4.33203125" style="161" customWidth="1"/>
    <col min="3" max="3" width="29.6640625" style="161" customWidth="1"/>
    <col min="4" max="4" width="13.5546875" style="161" bestFit="1" customWidth="1"/>
    <col min="5" max="5" width="9.5546875" style="161" customWidth="1"/>
    <col min="6" max="6" width="10.6640625" style="161" customWidth="1"/>
    <col min="7" max="7" width="30" style="161" customWidth="1"/>
    <col min="8" max="8" width="10.44140625" style="161" customWidth="1"/>
    <col min="9" max="9" width="19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66" t="s">
        <v>523</v>
      </c>
      <c r="B1" s="161" t="s">
        <v>524</v>
      </c>
      <c r="J1" s="667" t="s">
        <v>528</v>
      </c>
      <c r="K1" s="163">
        <v>81</v>
      </c>
      <c r="M1" s="666" t="s">
        <v>546</v>
      </c>
      <c r="N1" s="336">
        <f>N11+I17</f>
        <v>1.4184405000000002</v>
      </c>
    </row>
    <row r="2" spans="1:14" x14ac:dyDescent="0.3">
      <c r="A2" s="666" t="s">
        <v>532</v>
      </c>
      <c r="B2" s="161" t="s">
        <v>285</v>
      </c>
      <c r="D2" s="666" t="s">
        <v>536</v>
      </c>
      <c r="M2" s="666" t="s">
        <v>533</v>
      </c>
      <c r="N2" s="165">
        <v>2</v>
      </c>
    </row>
    <row r="3" spans="1:14" x14ac:dyDescent="0.3">
      <c r="A3" s="666" t="s">
        <v>534</v>
      </c>
      <c r="B3" s="161" t="s">
        <v>2194</v>
      </c>
      <c r="D3" s="666" t="s">
        <v>538</v>
      </c>
      <c r="J3" s="666" t="s">
        <v>536</v>
      </c>
    </row>
    <row r="4" spans="1:14" x14ac:dyDescent="0.3">
      <c r="A4" s="666" t="s">
        <v>545</v>
      </c>
      <c r="B4" s="166" t="s">
        <v>2197</v>
      </c>
      <c r="D4" s="666" t="s">
        <v>541</v>
      </c>
      <c r="J4" s="666" t="s">
        <v>538</v>
      </c>
      <c r="M4" s="666" t="s">
        <v>539</v>
      </c>
      <c r="N4" s="336">
        <f>N1*N2</f>
        <v>2.8368810000000004</v>
      </c>
    </row>
    <row r="5" spans="1:14" x14ac:dyDescent="0.3">
      <c r="A5" s="666" t="s">
        <v>537</v>
      </c>
      <c r="B5" s="199" t="s">
        <v>306</v>
      </c>
      <c r="J5" s="666" t="s">
        <v>541</v>
      </c>
    </row>
    <row r="6" spans="1:14" x14ac:dyDescent="0.3">
      <c r="A6" s="666" t="s">
        <v>540</v>
      </c>
      <c r="B6" s="161" t="s">
        <v>36</v>
      </c>
    </row>
    <row r="7" spans="1:14" x14ac:dyDescent="0.3">
      <c r="A7" s="666" t="s">
        <v>542</v>
      </c>
      <c r="B7" s="161" t="s">
        <v>2101</v>
      </c>
    </row>
    <row r="9" spans="1:14" s="178" customFormat="1" x14ac:dyDescent="0.3">
      <c r="A9" s="668" t="s">
        <v>544</v>
      </c>
      <c r="B9" s="668" t="s">
        <v>581</v>
      </c>
      <c r="C9" s="668" t="s">
        <v>549</v>
      </c>
      <c r="D9" s="668" t="s">
        <v>550</v>
      </c>
      <c r="E9" s="668" t="s">
        <v>567</v>
      </c>
      <c r="F9" s="668" t="s">
        <v>568</v>
      </c>
      <c r="G9" s="668" t="s">
        <v>569</v>
      </c>
      <c r="H9" s="668" t="s">
        <v>570</v>
      </c>
      <c r="I9" s="668" t="s">
        <v>582</v>
      </c>
      <c r="J9" s="668" t="s">
        <v>583</v>
      </c>
      <c r="K9" s="668" t="s">
        <v>584</v>
      </c>
      <c r="L9" s="668" t="s">
        <v>585</v>
      </c>
      <c r="M9" s="668" t="s">
        <v>28</v>
      </c>
      <c r="N9" s="668" t="s">
        <v>547</v>
      </c>
    </row>
    <row r="10" spans="1:14" ht="28.8" x14ac:dyDescent="0.3">
      <c r="A10" s="168">
        <v>10</v>
      </c>
      <c r="B10" s="168" t="s">
        <v>697</v>
      </c>
      <c r="C10" s="168" t="s">
        <v>1891</v>
      </c>
      <c r="D10" s="302">
        <v>2.25</v>
      </c>
      <c r="E10" s="168">
        <v>20</v>
      </c>
      <c r="F10" s="168" t="s">
        <v>573</v>
      </c>
      <c r="G10" s="168">
        <v>60</v>
      </c>
      <c r="H10" s="219" t="s">
        <v>573</v>
      </c>
      <c r="I10" s="269" t="s">
        <v>2183</v>
      </c>
      <c r="J10" s="228">
        <f>E10*G10/1000000</f>
        <v>1.1999999999999999E-3</v>
      </c>
      <c r="K10" s="228">
        <v>1.5E-3</v>
      </c>
      <c r="L10" s="219">
        <v>8010</v>
      </c>
      <c r="M10" s="339">
        <v>1</v>
      </c>
      <c r="N10" s="322">
        <f>IF(J10="",D10*M10,D10*J10*K10*L10*M10)</f>
        <v>3.2440499999999997E-2</v>
      </c>
    </row>
    <row r="11" spans="1:14" s="178" customFormat="1" x14ac:dyDescent="0.3">
      <c r="M11" s="669" t="s">
        <v>547</v>
      </c>
      <c r="N11" s="670">
        <f>SUM(N10:N10)</f>
        <v>3.2440499999999997E-2</v>
      </c>
    </row>
    <row r="13" spans="1:14" s="178" customFormat="1" x14ac:dyDescent="0.3">
      <c r="A13" s="668" t="s">
        <v>544</v>
      </c>
      <c r="B13" s="668" t="s">
        <v>548</v>
      </c>
      <c r="C13" s="668" t="s">
        <v>549</v>
      </c>
      <c r="D13" s="668" t="s">
        <v>550</v>
      </c>
      <c r="E13" s="668" t="s">
        <v>551</v>
      </c>
      <c r="F13" s="668" t="s">
        <v>28</v>
      </c>
      <c r="G13" s="668" t="s">
        <v>552</v>
      </c>
      <c r="H13" s="668" t="s">
        <v>553</v>
      </c>
      <c r="I13" s="668" t="s">
        <v>547</v>
      </c>
    </row>
    <row r="14" spans="1:14" s="248" customFormat="1" ht="28.8" x14ac:dyDescent="0.3">
      <c r="A14" s="184">
        <v>10</v>
      </c>
      <c r="B14" s="180" t="s">
        <v>589</v>
      </c>
      <c r="C14" s="184" t="s">
        <v>699</v>
      </c>
      <c r="D14" s="323">
        <v>1.3</v>
      </c>
      <c r="E14" s="184" t="s">
        <v>556</v>
      </c>
      <c r="F14" s="184">
        <v>1</v>
      </c>
      <c r="G14" s="184" t="s">
        <v>2291</v>
      </c>
      <c r="H14" s="184">
        <v>0.5</v>
      </c>
      <c r="I14" s="323">
        <f>IF('EL 04003'!$H14&lt;&gt;"",'EL 04003'!$D14*'EL 04003'!$F14*'EL 04003'!$H14,'EL 04003'!$D14*'EL 04003'!$F14)</f>
        <v>0.65</v>
      </c>
    </row>
    <row r="15" spans="1:14" x14ac:dyDescent="0.3">
      <c r="A15" s="168">
        <v>20</v>
      </c>
      <c r="B15" s="171" t="s">
        <v>700</v>
      </c>
      <c r="C15" s="171" t="s">
        <v>2286</v>
      </c>
      <c r="D15" s="323">
        <v>0.01</v>
      </c>
      <c r="E15" s="168" t="s">
        <v>593</v>
      </c>
      <c r="F15" s="168">
        <v>16.2</v>
      </c>
      <c r="G15" s="168" t="s">
        <v>598</v>
      </c>
      <c r="H15" s="168">
        <v>3</v>
      </c>
      <c r="I15" s="323">
        <f>IF('EL 04003'!$H15&lt;&gt;"",'EL 04003'!$D15*'EL 04003'!$F15*'EL 04003'!$H15,'EL 04003'!$D15*'EL 04003'!$F15)</f>
        <v>0.48599999999999999</v>
      </c>
    </row>
    <row r="16" spans="1:14" x14ac:dyDescent="0.3">
      <c r="A16" s="168">
        <v>30</v>
      </c>
      <c r="B16" s="180" t="s">
        <v>702</v>
      </c>
      <c r="C16" s="171" t="s">
        <v>2290</v>
      </c>
      <c r="D16" s="323">
        <v>0.25</v>
      </c>
      <c r="E16" s="168" t="s">
        <v>704</v>
      </c>
      <c r="F16" s="168">
        <v>1</v>
      </c>
      <c r="G16" s="168"/>
      <c r="H16" s="168">
        <v>1</v>
      </c>
      <c r="I16" s="323">
        <f>IF('EL 04002'!$H16&lt;&gt;"",'EL 04002'!$D16*'EL 04002'!$F16*'EL 04002'!$H16,'EL 04002'!$D16*'EL 04002'!$F16)</f>
        <v>0.25</v>
      </c>
    </row>
    <row r="17" spans="2:9" s="178" customFormat="1" x14ac:dyDescent="0.3">
      <c r="H17" s="669" t="s">
        <v>547</v>
      </c>
      <c r="I17" s="670">
        <f>SUM(I14:I16)</f>
        <v>1.3860000000000001</v>
      </c>
    </row>
    <row r="26" spans="2:9" x14ac:dyDescent="0.3">
      <c r="B26" s="256"/>
    </row>
  </sheetData>
  <pageMargins left="0.5" right="0.5" top="0.75" bottom="0.75" header="0.3" footer="0.3"/>
  <pageSetup paperSize="9" scale="58" orientation="landscape" r:id="rId1"/>
</worksheet>
</file>

<file path=xl/worksheets/sheet2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0000"/>
  </sheetPr>
  <dimension ref="A1"/>
  <sheetViews>
    <sheetView showGridLines="0" zoomScaleNormal="100" workbookViewId="0"/>
  </sheetViews>
  <sheetFormatPr defaultColWidth="11.5546875" defaultRowHeight="14.4" x14ac:dyDescent="0.3"/>
  <sheetData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97"/>
  <sheetViews>
    <sheetView showGridLines="0" workbookViewId="0"/>
  </sheetViews>
  <sheetFormatPr defaultColWidth="11.44140625" defaultRowHeight="14.4" x14ac:dyDescent="0.3"/>
  <cols>
    <col min="2" max="2" width="27.109375" customWidth="1"/>
    <col min="3" max="3" width="21.6640625" customWidth="1"/>
    <col min="9" max="9" width="34.6640625" customWidth="1"/>
    <col min="13" max="13" width="19.109375" customWidth="1"/>
  </cols>
  <sheetData>
    <row r="1" spans="1:14" x14ac:dyDescent="0.3">
      <c r="A1" s="197" t="b">
        <f>BOM!K24=I17</f>
        <v>1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I17+N11</f>
        <v>2.04867017216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1</v>
      </c>
    </row>
    <row r="3" spans="1:14" x14ac:dyDescent="0.3">
      <c r="A3" s="197" t="s">
        <v>534</v>
      </c>
      <c r="B3" t="s">
        <v>705</v>
      </c>
      <c r="D3" s="197" t="s">
        <v>538</v>
      </c>
      <c r="J3" s="197" t="s">
        <v>536</v>
      </c>
    </row>
    <row r="4" spans="1:14" x14ac:dyDescent="0.3">
      <c r="A4" s="197" t="s">
        <v>545</v>
      </c>
      <c r="B4" t="s">
        <v>719</v>
      </c>
      <c r="D4" s="197" t="s">
        <v>541</v>
      </c>
      <c r="J4" s="197" t="s">
        <v>538</v>
      </c>
      <c r="M4" s="197" t="s">
        <v>539</v>
      </c>
      <c r="N4" s="164">
        <f>N2*N1</f>
        <v>2.04867017216</v>
      </c>
    </row>
    <row r="5" spans="1:14" x14ac:dyDescent="0.3">
      <c r="A5" s="197" t="s">
        <v>537</v>
      </c>
      <c r="B5" s="199" t="s">
        <v>64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200" t="s">
        <v>542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x14ac:dyDescent="0.3">
      <c r="A10" s="179">
        <v>10</v>
      </c>
      <c r="B10" s="225" t="s">
        <v>720</v>
      </c>
      <c r="C10" s="168" t="s">
        <v>719</v>
      </c>
      <c r="D10" s="170">
        <v>4.2</v>
      </c>
      <c r="E10" s="168">
        <v>92</v>
      </c>
      <c r="F10" s="179" t="s">
        <v>573</v>
      </c>
      <c r="G10" s="168">
        <v>32</v>
      </c>
      <c r="H10" s="219" t="s">
        <v>573</v>
      </c>
      <c r="I10" s="220" t="s">
        <v>721</v>
      </c>
      <c r="J10" s="227">
        <f>0.0032*0.0092</f>
        <v>2.9439999999999999E-5</v>
      </c>
      <c r="K10" s="228">
        <v>2E-3</v>
      </c>
      <c r="L10" s="179">
        <v>2710</v>
      </c>
      <c r="M10" s="179">
        <v>1</v>
      </c>
      <c r="N10" s="223">
        <f>L10*K10*D10*J10</f>
        <v>6.7017215999999992E-4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212" t="s">
        <v>547</v>
      </c>
      <c r="N11" s="224">
        <f>N10</f>
        <v>6.7017215999999992E-4</v>
      </c>
    </row>
    <row r="13" spans="1:14" x14ac:dyDescent="0.3">
      <c r="A13" s="203" t="s">
        <v>544</v>
      </c>
      <c r="B13" s="203" t="s">
        <v>548</v>
      </c>
      <c r="C13" s="203" t="s">
        <v>549</v>
      </c>
      <c r="D13" s="203" t="s">
        <v>550</v>
      </c>
      <c r="E13" s="203" t="s">
        <v>551</v>
      </c>
      <c r="F13" s="203" t="s">
        <v>28</v>
      </c>
      <c r="G13" s="203" t="s">
        <v>552</v>
      </c>
      <c r="H13" s="203" t="s">
        <v>553</v>
      </c>
      <c r="I13" s="203" t="s">
        <v>547</v>
      </c>
      <c r="J13" s="178"/>
      <c r="K13" s="178"/>
      <c r="L13" s="178"/>
      <c r="M13" s="178"/>
      <c r="N13" s="178"/>
    </row>
    <row r="14" spans="1:14" ht="28.8" x14ac:dyDescent="0.3">
      <c r="A14" s="179">
        <v>10</v>
      </c>
      <c r="B14" s="180" t="s">
        <v>589</v>
      </c>
      <c r="C14" s="171"/>
      <c r="D14" s="312">
        <v>1.3</v>
      </c>
      <c r="E14" s="180" t="s">
        <v>556</v>
      </c>
      <c r="F14" s="179">
        <v>1</v>
      </c>
      <c r="G14" s="179"/>
      <c r="H14" s="179"/>
      <c r="I14" s="214">
        <f>D14</f>
        <v>1.3</v>
      </c>
    </row>
    <row r="15" spans="1:14" ht="28.8" x14ac:dyDescent="0.3">
      <c r="A15" s="179">
        <v>20</v>
      </c>
      <c r="B15" s="313" t="s">
        <v>591</v>
      </c>
      <c r="C15" s="184" t="s">
        <v>722</v>
      </c>
      <c r="D15" s="170">
        <v>0.01</v>
      </c>
      <c r="E15" s="168" t="s">
        <v>593</v>
      </c>
      <c r="F15" s="168">
        <v>24.8</v>
      </c>
      <c r="G15" s="180" t="s">
        <v>723</v>
      </c>
      <c r="H15" s="179">
        <v>1</v>
      </c>
      <c r="I15" s="170">
        <f>D15*F15</f>
        <v>0.24800000000000003</v>
      </c>
    </row>
    <row r="16" spans="1:14" x14ac:dyDescent="0.3">
      <c r="A16" s="179">
        <v>30</v>
      </c>
      <c r="B16" s="314" t="s">
        <v>702</v>
      </c>
      <c r="C16" s="168"/>
      <c r="D16" s="170">
        <v>0.25</v>
      </c>
      <c r="E16" s="168" t="s">
        <v>704</v>
      </c>
      <c r="F16" s="168">
        <v>2</v>
      </c>
      <c r="G16" s="168"/>
      <c r="H16" s="168"/>
      <c r="I16" s="223">
        <f>F16*D16</f>
        <v>0.5</v>
      </c>
    </row>
    <row r="17" spans="1:14" x14ac:dyDescent="0.3">
      <c r="A17" s="178"/>
      <c r="B17" s="178"/>
      <c r="C17" s="178"/>
      <c r="D17" s="178"/>
      <c r="E17" s="178"/>
      <c r="F17" s="178"/>
      <c r="G17" s="178"/>
      <c r="H17" s="212" t="s">
        <v>547</v>
      </c>
      <c r="I17" s="224">
        <f>SUM(I14:I16)</f>
        <v>2.048</v>
      </c>
      <c r="J17" s="178"/>
      <c r="K17" s="178"/>
      <c r="L17" s="178"/>
      <c r="M17" s="178"/>
      <c r="N17" s="178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  <row r="195" spans="1:8" x14ac:dyDescent="0.3">
      <c r="A195" s="161"/>
      <c r="B195" s="161"/>
      <c r="C195" s="161"/>
      <c r="D195" s="161"/>
      <c r="E195" s="161"/>
      <c r="F195" s="161"/>
      <c r="G195" s="161"/>
      <c r="H195" s="161"/>
    </row>
    <row r="196" spans="1:8" x14ac:dyDescent="0.3">
      <c r="A196" s="161"/>
      <c r="B196" s="161"/>
      <c r="C196" s="161"/>
      <c r="D196" s="161"/>
      <c r="E196" s="161"/>
      <c r="F196" s="161"/>
      <c r="G196" s="161"/>
      <c r="H196" s="161"/>
    </row>
    <row r="197" spans="1:8" x14ac:dyDescent="0.3">
      <c r="A197" s="161"/>
      <c r="B197" s="161"/>
      <c r="C197" s="161"/>
      <c r="D197" s="161"/>
      <c r="E197" s="161"/>
      <c r="F197" s="161"/>
      <c r="G197" s="161"/>
      <c r="H197" s="161"/>
    </row>
  </sheetData>
  <pageMargins left="0.7" right="0.7" top="0.75" bottom="0.75" header="0.3" footer="0.3"/>
  <pageSetup paperSize="9" scale="60" fitToHeight="0" orientation="landscape" r:id="rId1"/>
</worksheet>
</file>

<file path=xl/worksheets/sheet2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3333CC"/>
    <pageSetUpPr fitToPage="1"/>
  </sheetPr>
  <dimension ref="A1:AN63"/>
  <sheetViews>
    <sheetView showGridLines="0" workbookViewId="0"/>
  </sheetViews>
  <sheetFormatPr defaultColWidth="9.109375" defaultRowHeight="14.4" x14ac:dyDescent="0.3"/>
  <cols>
    <col min="1" max="1" width="10.6640625" style="161" bestFit="1" customWidth="1"/>
    <col min="2" max="2" width="30.21875" style="161" customWidth="1"/>
    <col min="3" max="3" width="37.21875" style="161" customWidth="1"/>
    <col min="4" max="4" width="11.109375" style="161" bestFit="1" customWidth="1"/>
    <col min="5" max="5" width="12" style="161" bestFit="1" customWidth="1"/>
    <col min="6" max="6" width="9.6640625" style="161" customWidth="1"/>
    <col min="7" max="7" width="10.5546875" style="161" bestFit="1" customWidth="1"/>
    <col min="8" max="8" width="16.6640625" style="161" customWidth="1"/>
    <col min="9" max="9" width="13.44140625" style="161" customWidth="1"/>
    <col min="10" max="10" width="11.33203125" style="161" customWidth="1"/>
    <col min="11" max="11" width="9.44140625" style="161" bestFit="1" customWidth="1"/>
    <col min="12" max="12" width="9.88671875" style="161" customWidth="1"/>
    <col min="13" max="13" width="16" style="161" customWidth="1"/>
    <col min="14" max="14" width="11.6640625" style="161" customWidth="1"/>
    <col min="15" max="16384" width="9.109375" style="161"/>
  </cols>
  <sheetData>
    <row r="1" spans="1:14" x14ac:dyDescent="0.3">
      <c r="A1" s="693" t="s">
        <v>523</v>
      </c>
      <c r="B1" s="161" t="s">
        <v>524</v>
      </c>
      <c r="J1" s="693" t="s">
        <v>528</v>
      </c>
      <c r="K1" s="163">
        <v>81</v>
      </c>
      <c r="M1" s="693" t="s">
        <v>531</v>
      </c>
      <c r="N1" s="336">
        <f>E24+N29+I47+J54+I58</f>
        <v>123.73178614966668</v>
      </c>
    </row>
    <row r="2" spans="1:14" x14ac:dyDescent="0.3">
      <c r="A2" s="693" t="s">
        <v>532</v>
      </c>
      <c r="B2" s="161" t="s">
        <v>1434</v>
      </c>
      <c r="M2" s="693" t="s">
        <v>533</v>
      </c>
      <c r="N2" s="165">
        <v>1</v>
      </c>
    </row>
    <row r="3" spans="1:14" x14ac:dyDescent="0.3">
      <c r="A3" s="693" t="s">
        <v>534</v>
      </c>
      <c r="B3" s="161" t="s">
        <v>308</v>
      </c>
      <c r="J3" s="693" t="s">
        <v>536</v>
      </c>
    </row>
    <row r="4" spans="1:14" x14ac:dyDescent="0.3">
      <c r="A4" s="693" t="s">
        <v>537</v>
      </c>
      <c r="B4" s="166" t="s">
        <v>2293</v>
      </c>
      <c r="J4" s="693" t="s">
        <v>538</v>
      </c>
      <c r="M4" s="693" t="s">
        <v>539</v>
      </c>
      <c r="N4" s="336">
        <f>N1*N2</f>
        <v>123.73178614966668</v>
      </c>
    </row>
    <row r="5" spans="1:14" x14ac:dyDescent="0.3">
      <c r="A5" s="693" t="s">
        <v>540</v>
      </c>
      <c r="B5" s="161" t="s">
        <v>36</v>
      </c>
      <c r="J5" s="693" t="s">
        <v>541</v>
      </c>
    </row>
    <row r="6" spans="1:14" x14ac:dyDescent="0.3">
      <c r="A6" s="693" t="s">
        <v>542</v>
      </c>
      <c r="B6" s="161" t="s">
        <v>2294</v>
      </c>
    </row>
    <row r="8" spans="1:14" x14ac:dyDescent="0.3">
      <c r="A8" s="694" t="s">
        <v>544</v>
      </c>
      <c r="B8" s="694" t="s">
        <v>545</v>
      </c>
      <c r="C8" s="694" t="s">
        <v>546</v>
      </c>
      <c r="D8" s="694" t="s">
        <v>28</v>
      </c>
      <c r="E8" s="694" t="s">
        <v>547</v>
      </c>
    </row>
    <row r="9" spans="1:14" x14ac:dyDescent="0.3">
      <c r="A9" s="168">
        <v>10</v>
      </c>
      <c r="B9" s="168" t="s">
        <v>2295</v>
      </c>
      <c r="C9" s="323">
        <f>'MS 01001'!N1</f>
        <v>19.814192343999999</v>
      </c>
      <c r="D9" s="168">
        <v>1</v>
      </c>
      <c r="E9" s="322">
        <f>C9*D9</f>
        <v>19.814192343999999</v>
      </c>
    </row>
    <row r="10" spans="1:14" x14ac:dyDescent="0.3">
      <c r="A10" s="168">
        <v>20</v>
      </c>
      <c r="B10" s="168" t="s">
        <v>2296</v>
      </c>
      <c r="C10" s="323">
        <f>'MS 01002'!N1</f>
        <v>3.2660842400000001</v>
      </c>
      <c r="D10" s="168">
        <v>1</v>
      </c>
      <c r="E10" s="322">
        <f t="shared" ref="E10:E23" si="0">C10*D10</f>
        <v>3.2660842400000001</v>
      </c>
    </row>
    <row r="11" spans="1:14" x14ac:dyDescent="0.3">
      <c r="A11" s="168">
        <v>30</v>
      </c>
      <c r="B11" s="168" t="s">
        <v>2297</v>
      </c>
      <c r="C11" s="323">
        <f>'MS 01003'!N1</f>
        <v>3.2660842400000001</v>
      </c>
      <c r="D11" s="168">
        <v>1</v>
      </c>
      <c r="E11" s="322">
        <f t="shared" si="0"/>
        <v>3.2660842400000001</v>
      </c>
    </row>
    <row r="12" spans="1:14" x14ac:dyDescent="0.3">
      <c r="A12" s="168">
        <v>40</v>
      </c>
      <c r="B12" s="168" t="s">
        <v>2298</v>
      </c>
      <c r="C12" s="323">
        <f>'MS 01004'!N1</f>
        <v>9.0478981199999993</v>
      </c>
      <c r="D12" s="168">
        <v>1</v>
      </c>
      <c r="E12" s="322">
        <f t="shared" si="0"/>
        <v>9.0478981199999993</v>
      </c>
    </row>
    <row r="13" spans="1:14" x14ac:dyDescent="0.3">
      <c r="A13" s="168">
        <v>50</v>
      </c>
      <c r="B13" s="168" t="s">
        <v>2299</v>
      </c>
      <c r="C13" s="323">
        <f>'MS 01005'!N1</f>
        <v>9.0478981199999993</v>
      </c>
      <c r="D13" s="168">
        <v>1</v>
      </c>
      <c r="E13" s="322">
        <f t="shared" si="0"/>
        <v>9.0478981199999993</v>
      </c>
    </row>
    <row r="14" spans="1:14" x14ac:dyDescent="0.3">
      <c r="A14" s="168">
        <v>60</v>
      </c>
      <c r="B14" s="168" t="s">
        <v>2300</v>
      </c>
      <c r="C14" s="323">
        <f>'MS 01006'!N1</f>
        <v>2.9343334900000002</v>
      </c>
      <c r="D14" s="168">
        <v>1</v>
      </c>
      <c r="E14" s="322">
        <f t="shared" si="0"/>
        <v>2.9343334900000002</v>
      </c>
    </row>
    <row r="15" spans="1:14" x14ac:dyDescent="0.3">
      <c r="A15" s="168">
        <v>70</v>
      </c>
      <c r="B15" s="168" t="s">
        <v>2301</v>
      </c>
      <c r="C15" s="323">
        <f>'MS 01007'!N1</f>
        <v>3.2246789040000001</v>
      </c>
      <c r="D15" s="168">
        <v>1</v>
      </c>
      <c r="E15" s="322">
        <f t="shared" si="0"/>
        <v>3.2246789040000001</v>
      </c>
    </row>
    <row r="16" spans="1:14" x14ac:dyDescent="0.3">
      <c r="A16" s="168">
        <v>80</v>
      </c>
      <c r="B16" s="168" t="s">
        <v>317</v>
      </c>
      <c r="C16" s="323">
        <f>'MS 01008'!N1</f>
        <v>1.0303538749999999</v>
      </c>
      <c r="D16" s="168">
        <v>2</v>
      </c>
      <c r="E16" s="322">
        <f t="shared" si="0"/>
        <v>2.0607077499999997</v>
      </c>
    </row>
    <row r="17" spans="1:40" x14ac:dyDescent="0.3">
      <c r="A17" s="168">
        <v>90</v>
      </c>
      <c r="B17" s="168" t="s">
        <v>319</v>
      </c>
      <c r="C17" s="323">
        <f>'MS 01009'!N1</f>
        <v>1.0444538749999999</v>
      </c>
      <c r="D17" s="168">
        <v>2</v>
      </c>
      <c r="E17" s="322">
        <f t="shared" si="0"/>
        <v>2.0889077499999997</v>
      </c>
    </row>
    <row r="18" spans="1:40" x14ac:dyDescent="0.3">
      <c r="A18" s="168">
        <v>100</v>
      </c>
      <c r="B18" s="168" t="s">
        <v>321</v>
      </c>
      <c r="C18" s="323">
        <f>'MS 01010'!N1</f>
        <v>0.69995387500000006</v>
      </c>
      <c r="D18" s="168">
        <v>4</v>
      </c>
      <c r="E18" s="322">
        <f t="shared" si="0"/>
        <v>2.7998155000000002</v>
      </c>
    </row>
    <row r="19" spans="1:40" x14ac:dyDescent="0.3">
      <c r="A19" s="168">
        <v>110</v>
      </c>
      <c r="B19" s="168" t="s">
        <v>2302</v>
      </c>
      <c r="C19" s="323">
        <f>'MS 01011'!N1</f>
        <v>0.70595387499999995</v>
      </c>
      <c r="D19" s="168">
        <v>4</v>
      </c>
      <c r="E19" s="322">
        <f t="shared" si="0"/>
        <v>2.8238154999999998</v>
      </c>
    </row>
    <row r="20" spans="1:40" x14ac:dyDescent="0.3">
      <c r="A20" s="168">
        <v>120</v>
      </c>
      <c r="B20" s="168" t="s">
        <v>325</v>
      </c>
      <c r="C20" s="323">
        <f>'MS 01012'!N1</f>
        <v>0.69995387500000006</v>
      </c>
      <c r="D20" s="168">
        <v>4</v>
      </c>
      <c r="E20" s="322">
        <f t="shared" si="0"/>
        <v>2.7998155000000002</v>
      </c>
    </row>
    <row r="21" spans="1:40" x14ac:dyDescent="0.3">
      <c r="A21" s="168">
        <v>130</v>
      </c>
      <c r="B21" s="168" t="s">
        <v>327</v>
      </c>
      <c r="C21" s="323">
        <f>'MS 01013'!N1</f>
        <v>0.71225387500000004</v>
      </c>
      <c r="D21" s="168">
        <v>4</v>
      </c>
      <c r="E21" s="322">
        <f t="shared" si="0"/>
        <v>2.8490155000000001</v>
      </c>
    </row>
    <row r="22" spans="1:40" x14ac:dyDescent="0.3">
      <c r="A22" s="168">
        <v>140</v>
      </c>
      <c r="B22" s="168" t="s">
        <v>329</v>
      </c>
      <c r="C22" s="323">
        <f>'MS 01014'!N1</f>
        <v>0.64325387499999997</v>
      </c>
      <c r="D22" s="168">
        <v>2</v>
      </c>
      <c r="E22" s="322">
        <f t="shared" si="0"/>
        <v>1.2865077499999999</v>
      </c>
    </row>
    <row r="23" spans="1:40" x14ac:dyDescent="0.3">
      <c r="A23" s="168">
        <v>150</v>
      </c>
      <c r="B23" s="168" t="s">
        <v>331</v>
      </c>
      <c r="C23" s="323">
        <f>'MS 01015'!N1</f>
        <v>7.4951147749999993</v>
      </c>
      <c r="D23" s="168">
        <v>1</v>
      </c>
      <c r="E23" s="322">
        <f t="shared" si="0"/>
        <v>7.4951147749999993</v>
      </c>
    </row>
    <row r="24" spans="1:40" x14ac:dyDescent="0.3">
      <c r="D24" s="695" t="s">
        <v>547</v>
      </c>
      <c r="E24" s="696">
        <f>SUM(E9:E23)</f>
        <v>74.804869483000004</v>
      </c>
    </row>
    <row r="26" spans="1:40" x14ac:dyDescent="0.3">
      <c r="A26" s="694" t="s">
        <v>544</v>
      </c>
      <c r="B26" s="694" t="s">
        <v>581</v>
      </c>
      <c r="C26" s="694" t="s">
        <v>549</v>
      </c>
      <c r="D26" s="694" t="s">
        <v>550</v>
      </c>
      <c r="E26" s="694" t="s">
        <v>567</v>
      </c>
      <c r="F26" s="694" t="s">
        <v>568</v>
      </c>
      <c r="G26" s="694" t="s">
        <v>569</v>
      </c>
      <c r="H26" s="694" t="s">
        <v>570</v>
      </c>
      <c r="I26" s="694" t="s">
        <v>582</v>
      </c>
      <c r="J26" s="694" t="s">
        <v>583</v>
      </c>
      <c r="K26" s="694" t="s">
        <v>584</v>
      </c>
      <c r="L26" s="694" t="s">
        <v>585</v>
      </c>
      <c r="M26" s="694" t="s">
        <v>28</v>
      </c>
      <c r="N26" s="694" t="s">
        <v>547</v>
      </c>
    </row>
    <row r="27" spans="1:40" x14ac:dyDescent="0.3">
      <c r="A27" s="168">
        <v>10</v>
      </c>
      <c r="B27" s="225" t="s">
        <v>2303</v>
      </c>
      <c r="C27" s="168" t="s">
        <v>2304</v>
      </c>
      <c r="D27" s="323">
        <v>0.05</v>
      </c>
      <c r="E27" s="168"/>
      <c r="F27" s="168"/>
      <c r="G27" s="168"/>
      <c r="H27" s="219"/>
      <c r="I27" s="220"/>
      <c r="J27" s="221"/>
      <c r="K27" s="219"/>
      <c r="L27" s="219"/>
      <c r="M27" s="168">
        <v>3</v>
      </c>
      <c r="N27" s="322">
        <f>IF(J27="",D27*M27,D27*J27*K27*L27*M27)</f>
        <v>0.15000000000000002</v>
      </c>
    </row>
    <row r="28" spans="1:40" x14ac:dyDescent="0.3">
      <c r="A28" s="168">
        <v>20</v>
      </c>
      <c r="B28" s="225" t="s">
        <v>625</v>
      </c>
      <c r="C28" s="168" t="s">
        <v>2305</v>
      </c>
      <c r="D28" s="323">
        <v>10</v>
      </c>
      <c r="E28" s="168"/>
      <c r="F28" s="168" t="s">
        <v>627</v>
      </c>
      <c r="G28" s="168"/>
      <c r="H28" s="219"/>
      <c r="I28" s="220"/>
      <c r="J28" s="221"/>
      <c r="K28" s="219"/>
      <c r="L28" s="219"/>
      <c r="M28" s="168">
        <v>0.10100000000000001</v>
      </c>
      <c r="N28" s="322">
        <f>IF(J28="",D28*M28,D28*J28*K28*L28*M28)</f>
        <v>1.01</v>
      </c>
    </row>
    <row r="29" spans="1:40" x14ac:dyDescent="0.3">
      <c r="A29" s="178"/>
      <c r="B29" s="178"/>
      <c r="C29" s="178"/>
      <c r="D29" s="178"/>
      <c r="E29" s="178"/>
      <c r="F29" s="178"/>
      <c r="G29" s="178"/>
      <c r="H29" s="178"/>
      <c r="I29" s="178"/>
      <c r="J29" s="178"/>
      <c r="K29" s="178"/>
      <c r="L29" s="178"/>
      <c r="M29" s="697" t="s">
        <v>547</v>
      </c>
      <c r="N29" s="696">
        <f>SUM(N27:N28)</f>
        <v>1.1600000000000001</v>
      </c>
      <c r="O29" s="178"/>
      <c r="P29" s="178"/>
      <c r="Q29" s="178"/>
      <c r="R29" s="178"/>
      <c r="S29" s="178"/>
      <c r="T29" s="178"/>
      <c r="U29" s="178"/>
      <c r="V29" s="178"/>
      <c r="W29" s="178"/>
      <c r="X29" s="178"/>
      <c r="Y29" s="178"/>
      <c r="Z29" s="178"/>
      <c r="AA29" s="178"/>
      <c r="AB29" s="178"/>
      <c r="AC29" s="178"/>
      <c r="AD29" s="178"/>
      <c r="AE29" s="178"/>
      <c r="AF29" s="178"/>
      <c r="AG29" s="178"/>
      <c r="AH29" s="178"/>
      <c r="AI29" s="178"/>
      <c r="AJ29" s="178"/>
      <c r="AK29" s="178"/>
      <c r="AL29" s="178"/>
      <c r="AM29" s="178"/>
      <c r="AN29" s="178"/>
    </row>
    <row r="31" spans="1:40" x14ac:dyDescent="0.3">
      <c r="A31" s="694" t="s">
        <v>544</v>
      </c>
      <c r="B31" s="694" t="s">
        <v>548</v>
      </c>
      <c r="C31" s="694" t="s">
        <v>549</v>
      </c>
      <c r="D31" s="694" t="s">
        <v>550</v>
      </c>
      <c r="E31" s="694" t="s">
        <v>551</v>
      </c>
      <c r="F31" s="694" t="s">
        <v>28</v>
      </c>
      <c r="G31" s="694" t="s">
        <v>552</v>
      </c>
      <c r="H31" s="694" t="s">
        <v>553</v>
      </c>
      <c r="I31" s="694" t="s">
        <v>547</v>
      </c>
      <c r="J31" s="178"/>
      <c r="K31" s="178"/>
      <c r="L31" s="178"/>
      <c r="M31" s="178"/>
      <c r="N31" s="178"/>
      <c r="O31" s="178"/>
      <c r="P31" s="178"/>
      <c r="Q31" s="178"/>
      <c r="R31" s="178"/>
      <c r="S31" s="178"/>
      <c r="T31" s="178"/>
      <c r="U31" s="178"/>
      <c r="V31" s="178"/>
      <c r="W31" s="178"/>
      <c r="X31" s="178"/>
      <c r="Y31" s="178"/>
      <c r="Z31" s="178"/>
      <c r="AA31" s="178"/>
      <c r="AB31" s="178"/>
      <c r="AC31" s="178"/>
      <c r="AD31" s="178"/>
      <c r="AE31" s="178"/>
      <c r="AF31" s="178"/>
      <c r="AG31" s="178"/>
      <c r="AH31" s="178"/>
      <c r="AI31" s="178"/>
      <c r="AJ31" s="178"/>
      <c r="AK31" s="178"/>
      <c r="AL31" s="178"/>
      <c r="AM31" s="178"/>
      <c r="AN31" s="178"/>
    </row>
    <row r="32" spans="1:40" s="178" customFormat="1" x14ac:dyDescent="0.3">
      <c r="A32" s="168">
        <v>10</v>
      </c>
      <c r="B32" s="171" t="s">
        <v>650</v>
      </c>
      <c r="C32" s="171" t="s">
        <v>1479</v>
      </c>
      <c r="D32" s="323">
        <v>0.15</v>
      </c>
      <c r="E32" s="168" t="s">
        <v>593</v>
      </c>
      <c r="F32" s="168">
        <v>82</v>
      </c>
      <c r="G32" s="168"/>
      <c r="H32" s="168">
        <v>1</v>
      </c>
      <c r="I32" s="323">
        <f t="shared" ref="I32:I46" si="1">D32*F32*H32</f>
        <v>12.299999999999999</v>
      </c>
      <c r="J32" s="161"/>
      <c r="K32" s="161"/>
      <c r="L32" s="161"/>
      <c r="M32" s="161"/>
      <c r="N32" s="161"/>
      <c r="O32" s="161"/>
      <c r="P32" s="161"/>
      <c r="Q32" s="161"/>
      <c r="R32" s="161"/>
      <c r="S32" s="161"/>
      <c r="T32" s="161"/>
      <c r="U32" s="161"/>
      <c r="V32" s="161"/>
      <c r="W32" s="161"/>
      <c r="X32" s="161"/>
      <c r="Y32" s="161"/>
      <c r="Z32" s="161"/>
      <c r="AA32" s="161"/>
      <c r="AB32" s="161"/>
      <c r="AC32" s="161"/>
      <c r="AD32" s="161"/>
      <c r="AE32" s="161"/>
      <c r="AF32" s="161"/>
      <c r="AG32" s="161"/>
      <c r="AH32" s="161"/>
      <c r="AI32" s="161"/>
      <c r="AJ32" s="161"/>
      <c r="AK32" s="161"/>
      <c r="AL32" s="161"/>
      <c r="AM32" s="161"/>
      <c r="AN32" s="161"/>
    </row>
    <row r="33" spans="1:40" s="178" customFormat="1" x14ac:dyDescent="0.3">
      <c r="A33" s="168">
        <v>20</v>
      </c>
      <c r="B33" s="171" t="s">
        <v>2306</v>
      </c>
      <c r="C33" s="171" t="s">
        <v>2307</v>
      </c>
      <c r="D33" s="323">
        <v>5.25</v>
      </c>
      <c r="E33" s="168" t="s">
        <v>627</v>
      </c>
      <c r="F33" s="168">
        <v>0.10100000000000001</v>
      </c>
      <c r="G33" s="168"/>
      <c r="H33" s="168">
        <v>1</v>
      </c>
      <c r="I33" s="323">
        <f t="shared" si="1"/>
        <v>0.53025</v>
      </c>
      <c r="J33" s="161"/>
      <c r="K33" s="161"/>
      <c r="L33" s="161"/>
      <c r="M33" s="161"/>
      <c r="N33" s="161"/>
      <c r="O33" s="161"/>
      <c r="P33" s="161"/>
      <c r="Q33" s="161"/>
      <c r="R33" s="161"/>
      <c r="S33" s="161"/>
      <c r="T33" s="161"/>
      <c r="U33" s="161"/>
      <c r="V33" s="161"/>
      <c r="W33" s="161"/>
      <c r="X33" s="161"/>
      <c r="Y33" s="161"/>
      <c r="Z33" s="161"/>
      <c r="AA33" s="161"/>
      <c r="AB33" s="161"/>
      <c r="AC33" s="161"/>
      <c r="AD33" s="161"/>
      <c r="AE33" s="161"/>
      <c r="AF33" s="161"/>
      <c r="AG33" s="161"/>
      <c r="AH33" s="161"/>
      <c r="AI33" s="161"/>
      <c r="AJ33" s="161"/>
      <c r="AK33" s="161"/>
      <c r="AL33" s="161"/>
      <c r="AM33" s="161"/>
      <c r="AN33" s="161"/>
    </row>
    <row r="34" spans="1:40" x14ac:dyDescent="0.3">
      <c r="A34" s="168">
        <v>30</v>
      </c>
      <c r="B34" s="171" t="s">
        <v>2308</v>
      </c>
      <c r="C34" s="171" t="s">
        <v>2309</v>
      </c>
      <c r="D34" s="323">
        <v>0.13</v>
      </c>
      <c r="E34" s="168"/>
      <c r="F34" s="168">
        <v>2</v>
      </c>
      <c r="G34" s="168"/>
      <c r="H34" s="168">
        <v>1</v>
      </c>
      <c r="I34" s="323">
        <f t="shared" si="1"/>
        <v>0.26</v>
      </c>
    </row>
    <row r="35" spans="1:40" x14ac:dyDescent="0.3">
      <c r="A35" s="168">
        <v>40</v>
      </c>
      <c r="B35" s="180" t="s">
        <v>656</v>
      </c>
      <c r="C35" s="171" t="s">
        <v>2310</v>
      </c>
      <c r="D35" s="323">
        <v>0.25</v>
      </c>
      <c r="E35" s="168"/>
      <c r="F35" s="168">
        <v>12</v>
      </c>
      <c r="G35" s="168"/>
      <c r="H35" s="168">
        <v>1</v>
      </c>
      <c r="I35" s="323">
        <f t="shared" si="1"/>
        <v>3</v>
      </c>
    </row>
    <row r="36" spans="1:40" x14ac:dyDescent="0.3">
      <c r="A36" s="168">
        <v>50</v>
      </c>
      <c r="B36" s="171" t="s">
        <v>2311</v>
      </c>
      <c r="C36" s="171" t="s">
        <v>2312</v>
      </c>
      <c r="D36" s="323">
        <v>0.56000000000000005</v>
      </c>
      <c r="E36" s="168"/>
      <c r="F36" s="168">
        <v>1</v>
      </c>
      <c r="G36" s="168"/>
      <c r="H36" s="168">
        <v>1.25</v>
      </c>
      <c r="I36" s="323">
        <f t="shared" si="1"/>
        <v>0.70000000000000007</v>
      </c>
    </row>
    <row r="37" spans="1:40" x14ac:dyDescent="0.3">
      <c r="A37" s="168">
        <v>60</v>
      </c>
      <c r="B37" s="171" t="s">
        <v>656</v>
      </c>
      <c r="C37" s="171" t="s">
        <v>2313</v>
      </c>
      <c r="D37" s="323">
        <v>0.25</v>
      </c>
      <c r="E37" s="168"/>
      <c r="F37" s="168">
        <v>18</v>
      </c>
      <c r="G37" s="168"/>
      <c r="H37" s="168">
        <v>1</v>
      </c>
      <c r="I37" s="323">
        <f t="shared" si="1"/>
        <v>4.5</v>
      </c>
    </row>
    <row r="38" spans="1:40" x14ac:dyDescent="0.3">
      <c r="A38" s="168">
        <v>70</v>
      </c>
      <c r="B38" s="171" t="s">
        <v>659</v>
      </c>
      <c r="C38" s="171" t="s">
        <v>1747</v>
      </c>
      <c r="D38" s="323">
        <v>0.5</v>
      </c>
      <c r="E38" s="168"/>
      <c r="F38" s="168">
        <v>2</v>
      </c>
      <c r="G38" s="168"/>
      <c r="H38" s="168">
        <v>1.25</v>
      </c>
      <c r="I38" s="323">
        <f t="shared" si="1"/>
        <v>1.25</v>
      </c>
    </row>
    <row r="39" spans="1:40" x14ac:dyDescent="0.3">
      <c r="A39" s="168">
        <v>80</v>
      </c>
      <c r="B39" s="171" t="s">
        <v>2314</v>
      </c>
      <c r="C39" s="171" t="s">
        <v>2315</v>
      </c>
      <c r="D39" s="323">
        <v>0.13</v>
      </c>
      <c r="E39" s="168"/>
      <c r="F39" s="168">
        <v>2</v>
      </c>
      <c r="G39" s="168"/>
      <c r="H39" s="168">
        <v>1</v>
      </c>
      <c r="I39" s="323">
        <f t="shared" si="1"/>
        <v>0.26</v>
      </c>
    </row>
    <row r="40" spans="1:40" x14ac:dyDescent="0.3">
      <c r="A40" s="168">
        <v>90</v>
      </c>
      <c r="B40" s="171" t="s">
        <v>656</v>
      </c>
      <c r="C40" s="171" t="s">
        <v>2316</v>
      </c>
      <c r="D40" s="323">
        <v>0.25</v>
      </c>
      <c r="E40" s="168"/>
      <c r="F40" s="168">
        <v>8</v>
      </c>
      <c r="G40" s="168"/>
      <c r="H40" s="168">
        <v>1</v>
      </c>
      <c r="I40" s="323">
        <f t="shared" si="1"/>
        <v>2</v>
      </c>
    </row>
    <row r="41" spans="1:40" x14ac:dyDescent="0.3">
      <c r="A41" s="168">
        <v>100</v>
      </c>
      <c r="B41" s="171" t="s">
        <v>2317</v>
      </c>
      <c r="C41" s="171" t="s">
        <v>2318</v>
      </c>
      <c r="D41" s="323">
        <v>0.02</v>
      </c>
      <c r="E41" s="168" t="s">
        <v>852</v>
      </c>
      <c r="F41" s="168">
        <v>240</v>
      </c>
      <c r="G41" s="168"/>
      <c r="H41" s="168">
        <v>1</v>
      </c>
      <c r="I41" s="323">
        <f>D41*F41*H41</f>
        <v>4.8</v>
      </c>
    </row>
    <row r="42" spans="1:40" x14ac:dyDescent="0.3">
      <c r="A42" s="168">
        <v>110</v>
      </c>
      <c r="B42" s="171" t="s">
        <v>2314</v>
      </c>
      <c r="C42" s="171" t="s">
        <v>2318</v>
      </c>
      <c r="D42" s="323">
        <v>0.13</v>
      </c>
      <c r="E42" s="168"/>
      <c r="F42" s="168">
        <v>2</v>
      </c>
      <c r="G42" s="168"/>
      <c r="H42" s="168">
        <v>1</v>
      </c>
      <c r="I42" s="323">
        <f t="shared" si="1"/>
        <v>0.26</v>
      </c>
    </row>
    <row r="43" spans="1:40" x14ac:dyDescent="0.3">
      <c r="A43" s="168">
        <v>120</v>
      </c>
      <c r="B43" s="171" t="s">
        <v>2314</v>
      </c>
      <c r="C43" s="171" t="s">
        <v>2319</v>
      </c>
      <c r="D43" s="323">
        <v>0.13</v>
      </c>
      <c r="E43" s="168"/>
      <c r="F43" s="168">
        <v>3</v>
      </c>
      <c r="G43" s="168"/>
      <c r="H43" s="168">
        <v>1</v>
      </c>
      <c r="I43" s="323">
        <f t="shared" si="1"/>
        <v>0.39</v>
      </c>
    </row>
    <row r="44" spans="1:40" x14ac:dyDescent="0.3">
      <c r="A44" s="168">
        <v>130</v>
      </c>
      <c r="B44" s="171" t="s">
        <v>2314</v>
      </c>
      <c r="C44" s="171" t="s">
        <v>2320</v>
      </c>
      <c r="D44" s="323">
        <v>0.13</v>
      </c>
      <c r="E44" s="168"/>
      <c r="F44" s="168">
        <v>1</v>
      </c>
      <c r="G44" s="168"/>
      <c r="H44" s="168">
        <v>1</v>
      </c>
      <c r="I44" s="323">
        <f t="shared" si="1"/>
        <v>0.13</v>
      </c>
    </row>
    <row r="45" spans="1:40" x14ac:dyDescent="0.3">
      <c r="A45" s="168">
        <v>140</v>
      </c>
      <c r="B45" s="171" t="s">
        <v>2321</v>
      </c>
      <c r="C45" s="171" t="s">
        <v>2322</v>
      </c>
      <c r="D45" s="323">
        <v>0.25</v>
      </c>
      <c r="E45" s="168"/>
      <c r="F45" s="168">
        <v>12</v>
      </c>
      <c r="G45" s="168"/>
      <c r="H45" s="168">
        <v>1</v>
      </c>
      <c r="I45" s="323">
        <f t="shared" si="1"/>
        <v>3</v>
      </c>
    </row>
    <row r="46" spans="1:40" x14ac:dyDescent="0.3">
      <c r="A46" s="168">
        <v>150</v>
      </c>
      <c r="B46" s="180" t="s">
        <v>1523</v>
      </c>
      <c r="C46" s="171" t="s">
        <v>2323</v>
      </c>
      <c r="D46" s="323">
        <v>0.8</v>
      </c>
      <c r="E46" s="168" t="s">
        <v>644</v>
      </c>
      <c r="F46" s="168">
        <v>5</v>
      </c>
      <c r="G46" s="168"/>
      <c r="H46" s="168">
        <v>1</v>
      </c>
      <c r="I46" s="323">
        <f t="shared" si="1"/>
        <v>4</v>
      </c>
    </row>
    <row r="47" spans="1:40" x14ac:dyDescent="0.3">
      <c r="A47" s="178"/>
      <c r="B47" s="178"/>
      <c r="C47" s="178"/>
      <c r="D47" s="178"/>
      <c r="E47" s="178"/>
      <c r="F47" s="178"/>
      <c r="G47" s="178"/>
      <c r="H47" s="697" t="s">
        <v>547</v>
      </c>
      <c r="I47" s="696">
        <f>SUM(I32:I46)</f>
        <v>37.380250000000004</v>
      </c>
      <c r="K47" s="178"/>
      <c r="L47" s="178"/>
    </row>
    <row r="48" spans="1:40" x14ac:dyDescent="0.3">
      <c r="M48" s="178"/>
      <c r="N48" s="178"/>
      <c r="O48" s="178"/>
      <c r="P48" s="178"/>
      <c r="Q48" s="178"/>
      <c r="R48" s="178"/>
      <c r="S48" s="178"/>
      <c r="T48" s="178"/>
      <c r="U48" s="178"/>
      <c r="V48" s="178"/>
      <c r="W48" s="178"/>
      <c r="X48" s="178"/>
      <c r="Y48" s="178"/>
      <c r="Z48" s="178"/>
      <c r="AA48" s="178"/>
      <c r="AB48" s="178"/>
      <c r="AC48" s="178"/>
      <c r="AD48" s="178"/>
      <c r="AE48" s="178"/>
      <c r="AF48" s="178"/>
      <c r="AG48" s="178"/>
      <c r="AH48" s="178"/>
      <c r="AI48" s="178"/>
      <c r="AJ48" s="178"/>
      <c r="AK48" s="178"/>
      <c r="AL48" s="178"/>
      <c r="AM48" s="178"/>
      <c r="AN48" s="178"/>
    </row>
    <row r="49" spans="1:40" x14ac:dyDescent="0.3">
      <c r="A49" s="694" t="s">
        <v>544</v>
      </c>
      <c r="B49" s="694" t="s">
        <v>566</v>
      </c>
      <c r="C49" s="694" t="s">
        <v>549</v>
      </c>
      <c r="D49" s="694" t="s">
        <v>550</v>
      </c>
      <c r="E49" s="694" t="s">
        <v>567</v>
      </c>
      <c r="F49" s="694" t="s">
        <v>568</v>
      </c>
      <c r="G49" s="694" t="s">
        <v>569</v>
      </c>
      <c r="H49" s="694" t="s">
        <v>570</v>
      </c>
      <c r="I49" s="694" t="s">
        <v>28</v>
      </c>
      <c r="J49" s="694" t="s">
        <v>547</v>
      </c>
      <c r="K49" s="178"/>
      <c r="L49" s="178"/>
    </row>
    <row r="50" spans="1:40" x14ac:dyDescent="0.3">
      <c r="A50" s="168">
        <v>10</v>
      </c>
      <c r="B50" s="225" t="s">
        <v>854</v>
      </c>
      <c r="C50" s="168" t="s">
        <v>2324</v>
      </c>
      <c r="D50" s="168">
        <v>0.03</v>
      </c>
      <c r="E50" s="168">
        <v>4</v>
      </c>
      <c r="F50" s="245" t="s">
        <v>573</v>
      </c>
      <c r="G50" s="168"/>
      <c r="H50" s="171"/>
      <c r="I50" s="327">
        <v>50</v>
      </c>
      <c r="J50" s="323">
        <f>D50*I50</f>
        <v>1.5</v>
      </c>
      <c r="M50" s="178"/>
      <c r="N50" s="178"/>
      <c r="O50" s="178"/>
      <c r="P50" s="178"/>
      <c r="Q50" s="178"/>
      <c r="R50" s="178"/>
      <c r="S50" s="178"/>
      <c r="T50" s="178"/>
      <c r="U50" s="178"/>
      <c r="V50" s="178"/>
      <c r="W50" s="178"/>
      <c r="X50" s="178"/>
      <c r="Y50" s="178"/>
      <c r="Z50" s="178"/>
      <c r="AA50" s="178"/>
      <c r="AB50" s="178"/>
      <c r="AC50" s="178"/>
      <c r="AD50" s="178"/>
      <c r="AE50" s="178"/>
      <c r="AF50" s="178"/>
      <c r="AG50" s="178"/>
      <c r="AH50" s="178"/>
      <c r="AI50" s="178"/>
      <c r="AJ50" s="178"/>
      <c r="AK50" s="178"/>
      <c r="AL50" s="178"/>
      <c r="AM50" s="178"/>
      <c r="AN50" s="178"/>
    </row>
    <row r="51" spans="1:40" x14ac:dyDescent="0.3">
      <c r="A51" s="168">
        <v>20</v>
      </c>
      <c r="B51" s="225" t="s">
        <v>684</v>
      </c>
      <c r="C51" s="168" t="s">
        <v>2325</v>
      </c>
      <c r="D51" s="168">
        <v>0.05</v>
      </c>
      <c r="E51" s="168">
        <v>6</v>
      </c>
      <c r="F51" s="245" t="s">
        <v>573</v>
      </c>
      <c r="G51" s="168">
        <v>25</v>
      </c>
      <c r="H51" s="171" t="s">
        <v>573</v>
      </c>
      <c r="I51" s="327">
        <v>2</v>
      </c>
      <c r="J51" s="323">
        <f>D51*I51</f>
        <v>0.1</v>
      </c>
      <c r="M51" s="178"/>
      <c r="N51" s="178"/>
      <c r="O51" s="178"/>
      <c r="P51" s="178"/>
      <c r="Q51" s="178"/>
      <c r="R51" s="178"/>
      <c r="S51" s="178"/>
      <c r="T51" s="178"/>
      <c r="U51" s="178"/>
      <c r="V51" s="178"/>
      <c r="W51" s="178"/>
      <c r="X51" s="178"/>
      <c r="Y51" s="178"/>
      <c r="Z51" s="178"/>
      <c r="AA51" s="178"/>
      <c r="AB51" s="178"/>
      <c r="AC51" s="178"/>
      <c r="AD51" s="178"/>
      <c r="AE51" s="178"/>
      <c r="AF51" s="178"/>
      <c r="AG51" s="178"/>
      <c r="AH51" s="178"/>
      <c r="AI51" s="178"/>
      <c r="AJ51" s="178"/>
      <c r="AK51" s="178"/>
      <c r="AL51" s="178"/>
      <c r="AM51" s="178"/>
      <c r="AN51" s="178"/>
    </row>
    <row r="52" spans="1:40" x14ac:dyDescent="0.3">
      <c r="A52" s="168">
        <v>30</v>
      </c>
      <c r="B52" s="225" t="s">
        <v>2326</v>
      </c>
      <c r="C52" s="168" t="s">
        <v>2325</v>
      </c>
      <c r="D52" s="168">
        <v>0.05</v>
      </c>
      <c r="E52" s="168">
        <v>6</v>
      </c>
      <c r="F52" s="245" t="s">
        <v>573</v>
      </c>
      <c r="G52" s="168"/>
      <c r="H52" s="171"/>
      <c r="I52" s="327">
        <v>2</v>
      </c>
      <c r="J52" s="323">
        <f>D52*I52</f>
        <v>0.1</v>
      </c>
      <c r="M52" s="178"/>
      <c r="N52" s="178"/>
      <c r="O52" s="178"/>
      <c r="P52" s="178"/>
      <c r="Q52" s="178"/>
      <c r="R52" s="178"/>
      <c r="S52" s="178"/>
      <c r="T52" s="178"/>
      <c r="U52" s="178"/>
      <c r="V52" s="178"/>
      <c r="W52" s="178"/>
      <c r="X52" s="178"/>
      <c r="Y52" s="178"/>
      <c r="Z52" s="178"/>
      <c r="AA52" s="178"/>
      <c r="AB52" s="178"/>
      <c r="AC52" s="178"/>
      <c r="AD52" s="178"/>
      <c r="AE52" s="178"/>
      <c r="AF52" s="178"/>
      <c r="AG52" s="178"/>
      <c r="AH52" s="178"/>
      <c r="AI52" s="178"/>
      <c r="AJ52" s="178"/>
      <c r="AK52" s="178"/>
      <c r="AL52" s="178"/>
      <c r="AM52" s="178"/>
      <c r="AN52" s="178"/>
    </row>
    <row r="53" spans="1:40" x14ac:dyDescent="0.3">
      <c r="A53" s="168">
        <v>40</v>
      </c>
      <c r="B53" s="244" t="s">
        <v>574</v>
      </c>
      <c r="C53" s="168" t="s">
        <v>2325</v>
      </c>
      <c r="D53" s="168">
        <v>0.01</v>
      </c>
      <c r="E53" s="168">
        <v>6</v>
      </c>
      <c r="F53" s="245" t="s">
        <v>573</v>
      </c>
      <c r="G53" s="168"/>
      <c r="H53" s="171"/>
      <c r="I53" s="327">
        <v>2</v>
      </c>
      <c r="J53" s="323">
        <f>D53*I53</f>
        <v>0.02</v>
      </c>
      <c r="M53" s="178"/>
      <c r="N53" s="256"/>
      <c r="O53" s="178"/>
      <c r="P53" s="178"/>
      <c r="Q53" s="178"/>
      <c r="R53" s="178"/>
      <c r="S53" s="178"/>
      <c r="T53" s="178"/>
      <c r="U53" s="178"/>
      <c r="V53" s="178"/>
      <c r="W53" s="178"/>
      <c r="X53" s="178"/>
      <c r="Y53" s="178"/>
      <c r="Z53" s="178"/>
      <c r="AA53" s="178"/>
      <c r="AB53" s="178"/>
      <c r="AC53" s="178"/>
      <c r="AD53" s="178"/>
      <c r="AE53" s="178"/>
      <c r="AF53" s="178"/>
      <c r="AG53" s="178"/>
      <c r="AH53" s="178"/>
      <c r="AI53" s="178"/>
      <c r="AJ53" s="178"/>
      <c r="AK53" s="178"/>
      <c r="AL53" s="178"/>
      <c r="AM53" s="178"/>
      <c r="AN53" s="178"/>
    </row>
    <row r="54" spans="1:40" x14ac:dyDescent="0.3">
      <c r="A54" s="178"/>
      <c r="B54" s="178"/>
      <c r="C54" s="178"/>
      <c r="D54" s="178"/>
      <c r="E54" s="178"/>
      <c r="F54" s="178"/>
      <c r="G54" s="178"/>
      <c r="H54" s="178"/>
      <c r="I54" s="697" t="s">
        <v>547</v>
      </c>
      <c r="J54" s="696">
        <f>SUM(J50:J53)</f>
        <v>1.7200000000000002</v>
      </c>
      <c r="K54" s="178"/>
      <c r="L54" s="178"/>
    </row>
    <row r="55" spans="1:40" x14ac:dyDescent="0.3">
      <c r="H55" s="326"/>
      <c r="I55" s="325"/>
      <c r="M55" s="178"/>
      <c r="N55" s="178"/>
      <c r="O55" s="178"/>
      <c r="P55" s="178"/>
      <c r="Q55" s="178"/>
      <c r="R55" s="178"/>
      <c r="S55" s="178"/>
      <c r="T55" s="178"/>
      <c r="U55" s="178"/>
      <c r="V55" s="178"/>
      <c r="W55" s="178"/>
      <c r="X55" s="178"/>
      <c r="Y55" s="178"/>
      <c r="Z55" s="178"/>
      <c r="AA55" s="178"/>
      <c r="AB55" s="178"/>
      <c r="AC55" s="178"/>
      <c r="AD55" s="178"/>
      <c r="AE55" s="178"/>
      <c r="AF55" s="178"/>
      <c r="AG55" s="178"/>
      <c r="AH55" s="178"/>
      <c r="AI55" s="178"/>
      <c r="AJ55" s="178"/>
      <c r="AK55" s="178"/>
      <c r="AL55" s="178"/>
      <c r="AM55" s="178"/>
      <c r="AN55" s="178"/>
    </row>
    <row r="56" spans="1:40" x14ac:dyDescent="0.3">
      <c r="A56" s="694" t="s">
        <v>544</v>
      </c>
      <c r="B56" s="694" t="s">
        <v>6</v>
      </c>
      <c r="C56" s="694" t="s">
        <v>549</v>
      </c>
      <c r="D56" s="694" t="s">
        <v>550</v>
      </c>
      <c r="E56" s="694" t="s">
        <v>551</v>
      </c>
      <c r="F56" s="694" t="s">
        <v>28</v>
      </c>
      <c r="G56" s="694" t="s">
        <v>691</v>
      </c>
      <c r="H56" s="694" t="s">
        <v>736</v>
      </c>
      <c r="I56" s="694" t="s">
        <v>547</v>
      </c>
      <c r="J56" s="178"/>
      <c r="K56" s="178"/>
      <c r="L56" s="178"/>
    </row>
    <row r="57" spans="1:40" x14ac:dyDescent="0.3">
      <c r="A57" s="168">
        <v>10</v>
      </c>
      <c r="B57" s="168" t="s">
        <v>1485</v>
      </c>
      <c r="C57" s="168" t="s">
        <v>1479</v>
      </c>
      <c r="D57" s="323">
        <v>500</v>
      </c>
      <c r="E57" s="168" t="s">
        <v>695</v>
      </c>
      <c r="F57" s="168">
        <v>52</v>
      </c>
      <c r="G57" s="168">
        <v>3000</v>
      </c>
      <c r="H57" s="168">
        <v>1</v>
      </c>
      <c r="I57" s="322">
        <f>D57*F57/G57*H57</f>
        <v>8.6666666666666661</v>
      </c>
      <c r="M57" s="178"/>
      <c r="N57" s="178"/>
      <c r="O57" s="178"/>
      <c r="P57" s="178"/>
      <c r="Q57" s="178"/>
      <c r="R57" s="178"/>
      <c r="S57" s="178"/>
      <c r="T57" s="178"/>
      <c r="U57" s="178"/>
      <c r="V57" s="178"/>
      <c r="W57" s="178"/>
      <c r="X57" s="178"/>
      <c r="Y57" s="178"/>
      <c r="Z57" s="178"/>
      <c r="AA57" s="178"/>
      <c r="AB57" s="178"/>
      <c r="AC57" s="178"/>
      <c r="AD57" s="178"/>
      <c r="AE57" s="178"/>
      <c r="AF57" s="178"/>
      <c r="AG57" s="178"/>
      <c r="AH57" s="178"/>
      <c r="AI57" s="178"/>
      <c r="AJ57" s="178"/>
      <c r="AK57" s="178"/>
      <c r="AL57" s="178"/>
      <c r="AM57" s="178"/>
      <c r="AN57" s="178"/>
    </row>
    <row r="58" spans="1:40" s="178" customFormat="1" x14ac:dyDescent="0.3">
      <c r="H58" s="695" t="s">
        <v>547</v>
      </c>
      <c r="I58" s="696">
        <f>SUM(I57:I57)</f>
        <v>8.6666666666666661</v>
      </c>
      <c r="J58" s="161"/>
      <c r="K58" s="161"/>
      <c r="L58" s="161"/>
      <c r="M58" s="161"/>
      <c r="N58" s="161"/>
      <c r="O58" s="161"/>
      <c r="P58" s="161"/>
      <c r="Q58" s="161"/>
      <c r="R58" s="161"/>
      <c r="S58" s="161"/>
      <c r="T58" s="161"/>
      <c r="U58" s="161"/>
      <c r="V58" s="161"/>
      <c r="W58" s="161"/>
      <c r="X58" s="161"/>
      <c r="Y58" s="161"/>
      <c r="Z58" s="161"/>
      <c r="AA58" s="161"/>
      <c r="AB58" s="161"/>
      <c r="AC58" s="161"/>
      <c r="AD58" s="161"/>
      <c r="AE58" s="161"/>
      <c r="AF58" s="161"/>
      <c r="AG58" s="161"/>
      <c r="AH58" s="161"/>
      <c r="AI58" s="161"/>
      <c r="AJ58" s="161"/>
      <c r="AK58" s="161"/>
      <c r="AL58" s="161"/>
      <c r="AM58" s="161"/>
      <c r="AN58" s="161"/>
    </row>
    <row r="59" spans="1:40" x14ac:dyDescent="0.3">
      <c r="J59" s="178"/>
      <c r="K59" s="178"/>
      <c r="L59" s="178"/>
    </row>
    <row r="60" spans="1:40" s="178" customFormat="1" x14ac:dyDescent="0.3">
      <c r="A60" s="161"/>
      <c r="B60" s="161"/>
      <c r="C60" s="161"/>
      <c r="D60" s="161"/>
      <c r="E60" s="161"/>
      <c r="F60" s="161"/>
      <c r="G60" s="161"/>
      <c r="H60" s="161"/>
      <c r="I60" s="161"/>
      <c r="J60" s="161"/>
      <c r="K60" s="161"/>
      <c r="L60" s="161"/>
    </row>
    <row r="63" spans="1:40" s="178" customFormat="1" x14ac:dyDescent="0.3">
      <c r="A63" s="161"/>
      <c r="B63" s="161"/>
      <c r="C63" s="161"/>
      <c r="D63" s="161"/>
      <c r="E63" s="161"/>
      <c r="F63" s="161"/>
      <c r="G63" s="161"/>
      <c r="H63" s="161"/>
      <c r="I63" s="161"/>
      <c r="J63" s="161"/>
      <c r="K63" s="161"/>
      <c r="L63" s="161"/>
      <c r="M63" s="161"/>
      <c r="N63" s="161"/>
      <c r="O63" s="161"/>
      <c r="P63" s="161"/>
      <c r="Q63" s="161"/>
      <c r="R63" s="161"/>
      <c r="S63" s="161"/>
      <c r="T63" s="161"/>
      <c r="U63" s="161"/>
      <c r="V63" s="161"/>
      <c r="W63" s="161"/>
      <c r="X63" s="161"/>
      <c r="Y63" s="161"/>
      <c r="Z63" s="161"/>
      <c r="AA63" s="161"/>
      <c r="AB63" s="161"/>
      <c r="AC63" s="161"/>
      <c r="AD63" s="161"/>
      <c r="AE63" s="161"/>
      <c r="AF63" s="161"/>
      <c r="AG63" s="161"/>
      <c r="AH63" s="161"/>
      <c r="AI63" s="161"/>
      <c r="AJ63" s="161"/>
      <c r="AK63" s="161"/>
      <c r="AL63" s="161"/>
      <c r="AM63" s="161"/>
      <c r="AN63" s="161"/>
    </row>
  </sheetData>
  <pageMargins left="0.5" right="0.5" top="0.75" bottom="0.75" header="0.3" footer="0.3"/>
  <pageSetup paperSize="9" scale="57" orientation="landscape" r:id="rId1"/>
  <rowBreaks count="1" manualBreakCount="1">
    <brk id="47" max="16383" man="1"/>
  </rowBreaks>
  <colBreaks count="1" manualBreakCount="1">
    <brk id="9" max="1048575" man="1"/>
  </colBreaks>
  <drawing r:id="rId2"/>
</worksheet>
</file>

<file path=xl/worksheets/sheet2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4"/>
  <sheetViews>
    <sheetView showGridLines="0" workbookViewId="0">
      <selection activeCell="N10" sqref="N10"/>
    </sheetView>
  </sheetViews>
  <sheetFormatPr defaultColWidth="9.109375" defaultRowHeight="14.4" x14ac:dyDescent="0.3"/>
  <cols>
    <col min="1" max="1" width="15" style="161" bestFit="1" customWidth="1"/>
    <col min="2" max="2" width="19.66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6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N11+I18</f>
        <v>19.814192343999999</v>
      </c>
    </row>
    <row r="2" spans="1:14" x14ac:dyDescent="0.3">
      <c r="A2" s="698" t="s">
        <v>532</v>
      </c>
      <c r="B2" s="161" t="s">
        <v>1434</v>
      </c>
      <c r="C2" s="359" t="s">
        <v>732</v>
      </c>
      <c r="D2" s="707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308</v>
      </c>
      <c r="D3" s="698" t="s">
        <v>538</v>
      </c>
      <c r="F3" s="248"/>
      <c r="J3" s="698" t="s">
        <v>536</v>
      </c>
    </row>
    <row r="4" spans="1:14" x14ac:dyDescent="0.3">
      <c r="A4" s="698" t="s">
        <v>545</v>
      </c>
      <c r="B4" s="166" t="s">
        <v>2295</v>
      </c>
      <c r="D4" s="698" t="s">
        <v>541</v>
      </c>
      <c r="J4" s="698" t="s">
        <v>538</v>
      </c>
      <c r="M4" s="698" t="s">
        <v>539</v>
      </c>
      <c r="N4" s="336">
        <f>N1*N2</f>
        <v>19.814192343999999</v>
      </c>
    </row>
    <row r="5" spans="1:14" x14ac:dyDescent="0.3">
      <c r="A5" s="698" t="s">
        <v>537</v>
      </c>
      <c r="B5" s="199" t="s">
        <v>309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799</v>
      </c>
      <c r="C10" s="168" t="s">
        <v>607</v>
      </c>
      <c r="D10" s="323">
        <v>4.2</v>
      </c>
      <c r="E10" s="168">
        <v>0.74199999999999999</v>
      </c>
      <c r="F10" s="168" t="s">
        <v>644</v>
      </c>
      <c r="G10" s="168">
        <v>0.72599999999999998</v>
      </c>
      <c r="H10" s="219" t="s">
        <v>644</v>
      </c>
      <c r="I10" s="269" t="s">
        <v>2327</v>
      </c>
      <c r="J10" s="624">
        <f>E10*G10</f>
        <v>0.53869199999999995</v>
      </c>
      <c r="K10" s="228">
        <v>1E-3</v>
      </c>
      <c r="L10" s="219">
        <v>2710</v>
      </c>
      <c r="M10" s="222">
        <v>1</v>
      </c>
      <c r="N10" s="322">
        <f>IF(J10="",D10*M10,D10*J10*K10*L10*M10)</f>
        <v>6.1313923439999991</v>
      </c>
    </row>
    <row r="11" spans="1:14" s="178" customFormat="1" x14ac:dyDescent="0.3">
      <c r="M11" s="701" t="s">
        <v>547</v>
      </c>
      <c r="N11" s="702">
        <f>SUM(N10:N10)</f>
        <v>6.1313923439999991</v>
      </c>
    </row>
    <row r="12" spans="1:14" x14ac:dyDescent="0.3">
      <c r="M12" s="178"/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28.8" x14ac:dyDescent="0.3">
      <c r="A14" s="623">
        <v>10</v>
      </c>
      <c r="B14" s="330" t="s">
        <v>589</v>
      </c>
      <c r="C14" s="180" t="s">
        <v>590</v>
      </c>
      <c r="D14" s="323">
        <v>1.3</v>
      </c>
      <c r="E14" s="627"/>
      <c r="F14" s="623">
        <v>1</v>
      </c>
      <c r="G14" s="627"/>
      <c r="H14" s="627"/>
      <c r="I14" s="323">
        <f>IF('MS 01001'!$H14&lt;&gt;"",'MS 01001'!$D14*'MS 01001'!$F14*'MS 01001'!$H14,'MS 01001'!$D14*'MS 01001'!$F14)</f>
        <v>1.3</v>
      </c>
    </row>
    <row r="15" spans="1:14" ht="28.8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313.27999999999997</v>
      </c>
      <c r="G15" s="184" t="s">
        <v>710</v>
      </c>
      <c r="H15" s="168">
        <v>1</v>
      </c>
      <c r="I15" s="323">
        <f>IF('MS 01001'!$H15&lt;&gt;"",'MS 01001'!$D15*'MS 01001'!$F15*'MS 01001'!$H15,'MS 01001'!$D15*'MS 01001'!$F15)</f>
        <v>3.1327999999999996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9</v>
      </c>
      <c r="G16" s="168"/>
      <c r="H16" s="168"/>
      <c r="I16" s="322">
        <f>IF('MS 01001'!$H16&lt;&gt;"",'MS 01001'!$D16*'MS 01001'!$F16*'MS 01001'!$H16,'MS 01001'!$D16*'MS 01001'!$F16)</f>
        <v>2.25</v>
      </c>
    </row>
    <row r="17" spans="1:11" ht="28.8" x14ac:dyDescent="0.3">
      <c r="A17" s="168">
        <v>40</v>
      </c>
      <c r="B17" s="180" t="s">
        <v>791</v>
      </c>
      <c r="C17" s="171"/>
      <c r="D17" s="323">
        <v>0.35</v>
      </c>
      <c r="E17" s="168" t="s">
        <v>843</v>
      </c>
      <c r="F17" s="168">
        <v>20</v>
      </c>
      <c r="G17" s="168"/>
      <c r="H17" s="168"/>
      <c r="I17" s="322">
        <f>IF('MS 01001'!$H17&lt;&gt;"",'MS 01001'!$D17*'MS 01001'!$F17*'MS 01001'!$H17,'MS 01001'!$D17*'MS 01001'!$F17)</f>
        <v>7</v>
      </c>
    </row>
    <row r="18" spans="1:11" s="178" customFormat="1" x14ac:dyDescent="0.3">
      <c r="H18" s="703" t="s">
        <v>547</v>
      </c>
      <c r="I18" s="702">
        <f>SUM(I14:I17)</f>
        <v>13.6828</v>
      </c>
    </row>
    <row r="20" spans="1:11" s="178" customFormat="1" x14ac:dyDescent="0.3">
      <c r="A20" s="161"/>
      <c r="B20" s="161"/>
      <c r="C20" s="161"/>
      <c r="D20" s="161"/>
      <c r="E20" s="161"/>
      <c r="F20" s="161"/>
      <c r="G20" s="161"/>
      <c r="H20" s="161"/>
      <c r="I20" s="161"/>
    </row>
    <row r="23" spans="1:11" x14ac:dyDescent="0.3">
      <c r="J23" s="178"/>
      <c r="K23" s="178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1" spans="1:11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</row>
    <row r="34" spans="1:11" s="178" customFormat="1" x14ac:dyDescent="0.3">
      <c r="A34" s="161"/>
      <c r="B34" s="161"/>
      <c r="C34" s="161"/>
      <c r="D34" s="161"/>
      <c r="E34" s="161"/>
      <c r="F34" s="161"/>
      <c r="G34" s="161"/>
      <c r="H34" s="161"/>
      <c r="I34" s="161"/>
      <c r="J34" s="161"/>
      <c r="K34" s="161"/>
    </row>
  </sheetData>
  <hyperlinks>
    <hyperlink ref="D2" location="'Firewall main drawing'!A1" display="FileLink1"/>
  </hyperlinks>
  <pageMargins left="0.5" right="0.5" top="0.75" bottom="0.75" header="0.3" footer="0.3"/>
  <pageSetup paperSize="9" scale="69" fitToHeight="0" orientation="landscape" r:id="rId1"/>
</worksheet>
</file>

<file path=xl/worksheets/sheet2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0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9.66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6.77734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N11+I18</f>
        <v>3.2660842400000001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2296</v>
      </c>
      <c r="D4" s="698" t="s">
        <v>541</v>
      </c>
      <c r="J4" s="698" t="s">
        <v>538</v>
      </c>
      <c r="M4" s="698" t="s">
        <v>539</v>
      </c>
      <c r="N4" s="336">
        <f>N1*N2</f>
        <v>3.2660842400000001</v>
      </c>
    </row>
    <row r="5" spans="1:14" x14ac:dyDescent="0.3">
      <c r="A5" s="698" t="s">
        <v>537</v>
      </c>
      <c r="B5" s="199" t="s">
        <v>310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799</v>
      </c>
      <c r="C10" s="168" t="s">
        <v>607</v>
      </c>
      <c r="D10" s="323">
        <v>4.2</v>
      </c>
      <c r="E10" s="168">
        <v>0.23200000000000001</v>
      </c>
      <c r="F10" s="168" t="s">
        <v>644</v>
      </c>
      <c r="G10" s="168">
        <v>0.13500000000000001</v>
      </c>
      <c r="H10" s="219" t="s">
        <v>644</v>
      </c>
      <c r="I10" s="269" t="s">
        <v>2328</v>
      </c>
      <c r="J10" s="340">
        <f>E10*G10</f>
        <v>3.1320000000000001E-2</v>
      </c>
      <c r="K10" s="228">
        <v>1E-3</v>
      </c>
      <c r="L10" s="219">
        <v>2710</v>
      </c>
      <c r="M10" s="222">
        <v>1</v>
      </c>
      <c r="N10" s="322">
        <f>IF(J10="",D10*M10,D10*J10*K10*L10*M10)</f>
        <v>0.35648424000000006</v>
      </c>
    </row>
    <row r="11" spans="1:14" s="178" customFormat="1" x14ac:dyDescent="0.3">
      <c r="M11" s="701" t="s">
        <v>547</v>
      </c>
      <c r="N11" s="702">
        <f>SUM(N10:N10)</f>
        <v>0.35648424000000006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28.8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7"/>
      <c r="H14" s="627"/>
      <c r="I14" s="323">
        <f>IF('MS 01002'!$H14&lt;&gt;"",'MS 01002'!$D14*'MS 01002'!$F14*'MS 01002'!$H14,'MS 01002'!$D14*'MS 01002'!$F14)</f>
        <v>1.3</v>
      </c>
    </row>
    <row r="15" spans="1:14" ht="28.8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65.959999999999994</v>
      </c>
      <c r="G15" s="184" t="s">
        <v>710</v>
      </c>
      <c r="H15" s="168">
        <v>1</v>
      </c>
      <c r="I15" s="323">
        <f>IF('MS 01002'!$H15&lt;&gt;"",'MS 01002'!$D15*'MS 01002'!$F15*'MS 01002'!$H15,'MS 01002'!$D15*'MS 01002'!$F15)</f>
        <v>0.65959999999999996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1</v>
      </c>
      <c r="G16" s="168"/>
      <c r="H16" s="168"/>
      <c r="I16" s="322">
        <f>IF('MS 01002'!$H16&lt;&gt;"",'MS 01002'!$D16*'MS 01002'!$F16*'MS 01002'!$H16,'MS 01002'!$D16*'MS 01002'!$F16)</f>
        <v>0.25</v>
      </c>
    </row>
    <row r="17" spans="1:11" ht="28.8" x14ac:dyDescent="0.3">
      <c r="A17" s="168">
        <v>40</v>
      </c>
      <c r="B17" s="180" t="s">
        <v>791</v>
      </c>
      <c r="C17" s="171"/>
      <c r="D17" s="323">
        <v>0.35</v>
      </c>
      <c r="E17" s="168" t="s">
        <v>843</v>
      </c>
      <c r="F17" s="168">
        <v>2</v>
      </c>
      <c r="G17" s="168"/>
      <c r="H17" s="168"/>
      <c r="I17" s="322">
        <f>IF('MS 01002'!$H17&lt;&gt;"",'MS 01002'!$D17*'MS 01002'!$F17*'MS 01002'!$H17,'MS 01002'!$D17*'MS 01002'!$F17)</f>
        <v>0.7</v>
      </c>
    </row>
    <row r="18" spans="1:11" s="178" customFormat="1" x14ac:dyDescent="0.3">
      <c r="H18" s="703" t="s">
        <v>547</v>
      </c>
      <c r="I18" s="702">
        <f>SUM(I14:I17)</f>
        <v>2.9096000000000002</v>
      </c>
    </row>
    <row r="19" spans="1:11" x14ac:dyDescent="0.3">
      <c r="A19" s="178"/>
      <c r="K19" s="178"/>
    </row>
    <row r="25" spans="1:11" s="178" customFormat="1" x14ac:dyDescent="0.3">
      <c r="A25" s="161"/>
      <c r="B25" s="161"/>
      <c r="C25" s="161"/>
      <c r="D25" s="161"/>
      <c r="E25" s="161"/>
      <c r="F25" s="161"/>
      <c r="G25" s="161"/>
      <c r="H25" s="161"/>
      <c r="I25" s="161"/>
      <c r="J25" s="161"/>
      <c r="K25" s="161"/>
    </row>
    <row r="27" spans="1:11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</row>
    <row r="30" spans="1:11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</row>
  </sheetData>
  <pageMargins left="0.5" right="0.5" top="0.75" bottom="0.75" header="0.3" footer="0.3"/>
  <pageSetup paperSize="9" scale="69" fitToHeight="0" orientation="landscape" r:id="rId1"/>
</worksheet>
</file>

<file path=xl/worksheets/sheet2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4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9.777343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N11+I18</f>
        <v>3.2660842400000001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2297</v>
      </c>
      <c r="D4" s="698" t="s">
        <v>541</v>
      </c>
      <c r="J4" s="698" t="s">
        <v>538</v>
      </c>
      <c r="M4" s="698" t="s">
        <v>539</v>
      </c>
      <c r="N4" s="336">
        <f>N1*N2</f>
        <v>3.2660842400000001</v>
      </c>
    </row>
    <row r="5" spans="1:14" x14ac:dyDescent="0.3">
      <c r="A5" s="698" t="s">
        <v>537</v>
      </c>
      <c r="B5" s="199" t="s">
        <v>311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799</v>
      </c>
      <c r="C10" s="168" t="s">
        <v>607</v>
      </c>
      <c r="D10" s="323">
        <v>4.2</v>
      </c>
      <c r="E10" s="168">
        <v>0.23200000000000001</v>
      </c>
      <c r="F10" s="168" t="s">
        <v>644</v>
      </c>
      <c r="G10" s="168">
        <v>0.13500000000000001</v>
      </c>
      <c r="H10" s="219" t="s">
        <v>644</v>
      </c>
      <c r="I10" s="269" t="s">
        <v>2328</v>
      </c>
      <c r="J10" s="340">
        <f>E10*G10</f>
        <v>3.1320000000000001E-2</v>
      </c>
      <c r="K10" s="228">
        <v>1E-3</v>
      </c>
      <c r="L10" s="219">
        <v>2710</v>
      </c>
      <c r="M10" s="222">
        <v>1</v>
      </c>
      <c r="N10" s="322">
        <f>IF(J10="",D10*M10,D10*J10*K10*L10*M10)</f>
        <v>0.35648424000000006</v>
      </c>
    </row>
    <row r="11" spans="1:14" s="178" customFormat="1" x14ac:dyDescent="0.3">
      <c r="M11" s="701" t="s">
        <v>547</v>
      </c>
      <c r="N11" s="702">
        <f>SUM(N10:N10)</f>
        <v>0.35648424000000006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28.8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3"/>
      <c r="H14" s="623"/>
      <c r="I14" s="323">
        <f>IF('MS 01003'!$H14&lt;&gt;"",'MS 01003'!$D14*'MS 01003'!$F14*'MS 01003'!$H14,'MS 01003'!$D14*'MS 01003'!$F14)</f>
        <v>1.3</v>
      </c>
    </row>
    <row r="15" spans="1:14" ht="28.8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65.959999999999994</v>
      </c>
      <c r="G15" s="184" t="s">
        <v>710</v>
      </c>
      <c r="H15" s="168">
        <v>1</v>
      </c>
      <c r="I15" s="323">
        <f>IF('MS 01003'!$H15&lt;&gt;"",'MS 01003'!$D15*'MS 01003'!$F15*'MS 01003'!$H15,'MS 01003'!$D15*'MS 01003'!$F15)</f>
        <v>0.65959999999999996</v>
      </c>
    </row>
    <row r="16" spans="1:14" x14ac:dyDescent="0.3">
      <c r="A16" s="623">
        <v>30</v>
      </c>
      <c r="B16" s="180" t="s">
        <v>702</v>
      </c>
      <c r="C16" s="171"/>
      <c r="D16" s="323">
        <v>0.25</v>
      </c>
      <c r="E16" s="168" t="s">
        <v>704</v>
      </c>
      <c r="F16" s="168">
        <v>1</v>
      </c>
      <c r="G16" s="168"/>
      <c r="H16" s="168"/>
      <c r="I16" s="322">
        <f>IF('MS 01003'!$H16&lt;&gt;"",'MS 01003'!$D16*'MS 01003'!$F16*'MS 01003'!$H16,'MS 01003'!$D16*'MS 01003'!$F16)</f>
        <v>0.25</v>
      </c>
    </row>
    <row r="17" spans="1:11" ht="28.8" x14ac:dyDescent="0.3">
      <c r="A17" s="168">
        <v>40</v>
      </c>
      <c r="B17" s="180" t="s">
        <v>791</v>
      </c>
      <c r="C17" s="171"/>
      <c r="D17" s="323">
        <v>0.35</v>
      </c>
      <c r="E17" s="168" t="s">
        <v>843</v>
      </c>
      <c r="F17" s="168">
        <v>2</v>
      </c>
      <c r="G17" s="168"/>
      <c r="H17" s="168"/>
      <c r="I17" s="322">
        <f>IF('MS 01003'!$H17&lt;&gt;"",'MS 01003'!$D17*'MS 01003'!$F17*'MS 01003'!$H17,'MS 01003'!$D17*'MS 01003'!$F17)</f>
        <v>0.7</v>
      </c>
    </row>
    <row r="18" spans="1:11" s="178" customFormat="1" x14ac:dyDescent="0.3">
      <c r="H18" s="703" t="s">
        <v>547</v>
      </c>
      <c r="I18" s="702">
        <f>SUM(I14:I17)</f>
        <v>2.9096000000000002</v>
      </c>
    </row>
    <row r="20" spans="1:11" s="178" customFormat="1" x14ac:dyDescent="0.3">
      <c r="A20" s="161"/>
      <c r="B20" s="161"/>
      <c r="C20" s="161"/>
      <c r="D20" s="161"/>
      <c r="E20" s="161"/>
      <c r="F20" s="161"/>
      <c r="G20" s="161"/>
      <c r="H20" s="161"/>
      <c r="I20" s="161"/>
    </row>
    <row r="23" spans="1:11" x14ac:dyDescent="0.3">
      <c r="J23" s="178"/>
      <c r="K23" s="178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1" spans="1:11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</row>
    <row r="34" spans="1:11" s="178" customFormat="1" x14ac:dyDescent="0.3">
      <c r="A34" s="161"/>
      <c r="B34" s="161"/>
      <c r="C34" s="161"/>
      <c r="D34" s="161"/>
      <c r="E34" s="161"/>
      <c r="F34" s="161"/>
      <c r="G34" s="161"/>
      <c r="H34" s="161"/>
      <c r="I34" s="161"/>
      <c r="J34" s="161"/>
      <c r="K34" s="161"/>
    </row>
  </sheetData>
  <pageMargins left="0.5" right="0.5" top="0.75" bottom="0.75" header="0.3" footer="0.3"/>
  <pageSetup paperSize="9" scale="69" fitToHeight="0" orientation="landscape" r:id="rId1"/>
</worksheet>
</file>

<file path=xl/worksheets/sheet2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4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7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7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N11+I18</f>
        <v>9.0478981199999993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2298</v>
      </c>
      <c r="D4" s="698" t="s">
        <v>541</v>
      </c>
      <c r="J4" s="698" t="s">
        <v>538</v>
      </c>
      <c r="M4" s="698" t="s">
        <v>539</v>
      </c>
      <c r="N4" s="336">
        <f>N1*N2</f>
        <v>9.0478981199999993</v>
      </c>
    </row>
    <row r="5" spans="1:14" x14ac:dyDescent="0.3">
      <c r="A5" s="698" t="s">
        <v>537</v>
      </c>
      <c r="B5" s="199" t="s">
        <v>312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799</v>
      </c>
      <c r="C10" s="168" t="s">
        <v>607</v>
      </c>
      <c r="D10" s="323">
        <v>4.2</v>
      </c>
      <c r="E10" s="168">
        <v>0.45700000000000002</v>
      </c>
      <c r="F10" s="168" t="s">
        <v>644</v>
      </c>
      <c r="G10" s="168">
        <v>0.38</v>
      </c>
      <c r="H10" s="219" t="s">
        <v>644</v>
      </c>
      <c r="I10" s="269" t="s">
        <v>2329</v>
      </c>
      <c r="J10" s="340">
        <f>E10*G10</f>
        <v>0.17366000000000001</v>
      </c>
      <c r="K10" s="228">
        <v>1E-3</v>
      </c>
      <c r="L10" s="219">
        <v>2710</v>
      </c>
      <c r="M10" s="222">
        <v>1</v>
      </c>
      <c r="N10" s="322">
        <f>IF(J10="",D10*M10,D10*J10*K10*L10*M10)</f>
        <v>1.9765981200000002</v>
      </c>
    </row>
    <row r="11" spans="1:14" s="178" customFormat="1" x14ac:dyDescent="0.3">
      <c r="M11" s="701" t="s">
        <v>547</v>
      </c>
      <c r="N11" s="704">
        <f>SUM(N10:N10)</f>
        <v>1.9765981200000002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28.8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3"/>
      <c r="H14" s="623"/>
      <c r="I14" s="323">
        <f>IF('MS 01004'!$H14&lt;&gt;"",'MS 01004'!$D14*'MS 01004'!$F14*'MS 01004'!$H14,'MS 01004'!$D14*'MS 01004'!$F14)</f>
        <v>1.3</v>
      </c>
    </row>
    <row r="15" spans="1:14" ht="28.8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167.13</v>
      </c>
      <c r="G15" s="184" t="s">
        <v>710</v>
      </c>
      <c r="H15" s="168">
        <v>1</v>
      </c>
      <c r="I15" s="323">
        <f>IF('MS 01004'!$H15&lt;&gt;"",'MS 01004'!$D15*'MS 01004'!$F15*'MS 01004'!$H15,'MS 01004'!$D15*'MS 01004'!$F15)</f>
        <v>1.6713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1</v>
      </c>
      <c r="G16" s="168"/>
      <c r="H16" s="168"/>
      <c r="I16" s="322">
        <f>IF('MS 01004'!$H16&lt;&gt;"",'MS 01004'!$D16*'MS 01004'!$F16*'MS 01004'!$H16,'MS 01004'!$D16*'MS 01004'!$F16)</f>
        <v>0.25</v>
      </c>
    </row>
    <row r="17" spans="1:11" ht="28.8" x14ac:dyDescent="0.3">
      <c r="A17" s="168">
        <v>40</v>
      </c>
      <c r="B17" s="180" t="s">
        <v>791</v>
      </c>
      <c r="C17" s="171"/>
      <c r="D17" s="323">
        <v>0.35</v>
      </c>
      <c r="E17" s="168" t="s">
        <v>843</v>
      </c>
      <c r="F17" s="168">
        <v>11</v>
      </c>
      <c r="G17" s="168"/>
      <c r="H17" s="168"/>
      <c r="I17" s="322">
        <f>IF('MS 01004'!$H17&lt;&gt;"",'MS 01004'!$D17*'MS 01004'!$F17*'MS 01004'!$H17,'MS 01004'!$D17*'MS 01004'!$F17)</f>
        <v>3.8499999999999996</v>
      </c>
    </row>
    <row r="18" spans="1:11" s="178" customFormat="1" x14ac:dyDescent="0.3">
      <c r="H18" s="701" t="s">
        <v>547</v>
      </c>
      <c r="I18" s="704">
        <f>SUM(I14:I17)</f>
        <v>7.0712999999999999</v>
      </c>
    </row>
    <row r="20" spans="1:11" s="178" customFormat="1" x14ac:dyDescent="0.3">
      <c r="A20" s="161"/>
      <c r="B20" s="161"/>
      <c r="C20" s="161"/>
      <c r="D20" s="161"/>
      <c r="E20" s="161"/>
      <c r="F20" s="161"/>
      <c r="G20" s="161"/>
      <c r="H20" s="161"/>
      <c r="I20" s="161"/>
    </row>
    <row r="23" spans="1:11" x14ac:dyDescent="0.3">
      <c r="J23" s="178"/>
      <c r="K23" s="178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1" spans="1:11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</row>
    <row r="34" spans="1:11" s="178" customFormat="1" x14ac:dyDescent="0.3">
      <c r="A34" s="161"/>
      <c r="B34" s="161"/>
      <c r="C34" s="161"/>
      <c r="D34" s="161"/>
      <c r="E34" s="161"/>
      <c r="F34" s="161"/>
      <c r="G34" s="161"/>
      <c r="H34" s="161"/>
      <c r="I34" s="161"/>
      <c r="J34" s="161"/>
      <c r="K34" s="161"/>
    </row>
  </sheetData>
  <pageMargins left="0.5" right="0.5" top="0.75" bottom="0.75" header="0.3" footer="0.3"/>
  <pageSetup paperSize="9" scale="69" fitToHeight="0" orientation="landscape" r:id="rId1"/>
</worksheet>
</file>

<file path=xl/worksheets/sheet2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4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0.10937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0.77734375" style="161" customWidth="1"/>
    <col min="8" max="8" width="13.88671875" style="161" bestFit="1" customWidth="1"/>
    <col min="9" max="9" width="16.5546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N11+I18</f>
        <v>9.0478981199999993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2299</v>
      </c>
      <c r="D4" s="698" t="s">
        <v>541</v>
      </c>
      <c r="J4" s="698" t="s">
        <v>538</v>
      </c>
      <c r="M4" s="698" t="s">
        <v>539</v>
      </c>
      <c r="N4" s="336">
        <f>N1*N2</f>
        <v>9.0478981199999993</v>
      </c>
    </row>
    <row r="5" spans="1:14" x14ac:dyDescent="0.3">
      <c r="A5" s="698" t="s">
        <v>537</v>
      </c>
      <c r="B5" s="199" t="s">
        <v>313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799</v>
      </c>
      <c r="C10" s="168" t="s">
        <v>607</v>
      </c>
      <c r="D10" s="323">
        <v>4.2</v>
      </c>
      <c r="E10" s="168">
        <v>0.45700000000000002</v>
      </c>
      <c r="F10" s="168" t="s">
        <v>644</v>
      </c>
      <c r="G10" s="168">
        <v>0.38</v>
      </c>
      <c r="H10" s="219" t="s">
        <v>644</v>
      </c>
      <c r="I10" s="269" t="s">
        <v>2330</v>
      </c>
      <c r="J10" s="340">
        <f>E10*G10</f>
        <v>0.17366000000000001</v>
      </c>
      <c r="K10" s="228">
        <v>1E-3</v>
      </c>
      <c r="L10" s="219">
        <v>2710</v>
      </c>
      <c r="M10" s="222">
        <v>1</v>
      </c>
      <c r="N10" s="322">
        <f>IF(J10="",D10*M10,D10*J10*K10*L10*M10)</f>
        <v>1.9765981200000002</v>
      </c>
    </row>
    <row r="11" spans="1:14" s="178" customFormat="1" x14ac:dyDescent="0.3">
      <c r="M11" s="701" t="s">
        <v>547</v>
      </c>
      <c r="N11" s="702">
        <f>SUM(N10:N10)</f>
        <v>1.9765981200000002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28.8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3"/>
      <c r="H14" s="623"/>
      <c r="I14" s="323">
        <f>IF('MS 01005'!$H14&lt;&gt;"",'MS 01005'!$D14*'MS 01005'!$F14*'MS 01005'!$H14,'MS 01005'!$D14*'MS 01005'!$F14)</f>
        <v>1.3</v>
      </c>
    </row>
    <row r="15" spans="1:14" ht="28.8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167.13</v>
      </c>
      <c r="G15" s="184" t="s">
        <v>710</v>
      </c>
      <c r="H15" s="168">
        <v>1</v>
      </c>
      <c r="I15" s="323">
        <f>IF('MS 01005'!$H15&lt;&gt;"",'MS 01005'!$D15*'MS 01005'!$F15*'MS 01005'!$H15,'MS 01005'!$D15*'MS 01005'!$F15)</f>
        <v>1.6713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1</v>
      </c>
      <c r="G16" s="168"/>
      <c r="H16" s="168"/>
      <c r="I16" s="322">
        <f>IF('MS 01005'!$H16&lt;&gt;"",'MS 01005'!$D16*'MS 01005'!$F16*'MS 01005'!$H16,'MS 01005'!$D16*'MS 01005'!$F16)</f>
        <v>0.25</v>
      </c>
    </row>
    <row r="17" spans="1:11" ht="28.8" x14ac:dyDescent="0.3">
      <c r="A17" s="168">
        <v>40</v>
      </c>
      <c r="B17" s="180" t="s">
        <v>791</v>
      </c>
      <c r="C17" s="171"/>
      <c r="D17" s="323">
        <v>0.35</v>
      </c>
      <c r="E17" s="168" t="s">
        <v>843</v>
      </c>
      <c r="F17" s="168">
        <v>11</v>
      </c>
      <c r="G17" s="168"/>
      <c r="H17" s="168"/>
      <c r="I17" s="322">
        <f>IF('MS 01005'!$H17&lt;&gt;"",'MS 01005'!$D17*'MS 01005'!$F17*'MS 01005'!$H17,'MS 01005'!$D17*'MS 01005'!$F17)</f>
        <v>3.8499999999999996</v>
      </c>
    </row>
    <row r="18" spans="1:11" s="178" customFormat="1" x14ac:dyDescent="0.3">
      <c r="H18" s="703" t="s">
        <v>547</v>
      </c>
      <c r="I18" s="702">
        <f>SUM(I14:I17)</f>
        <v>7.0712999999999999</v>
      </c>
    </row>
    <row r="20" spans="1:11" s="178" customFormat="1" x14ac:dyDescent="0.3">
      <c r="A20" s="161"/>
      <c r="B20" s="161"/>
      <c r="C20" s="161"/>
      <c r="D20" s="161"/>
      <c r="E20" s="161"/>
      <c r="F20" s="161"/>
      <c r="G20" s="161"/>
      <c r="H20" s="161"/>
      <c r="I20" s="161"/>
    </row>
    <row r="23" spans="1:11" x14ac:dyDescent="0.3">
      <c r="J23" s="178"/>
      <c r="K23" s="178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1" spans="1:11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</row>
    <row r="34" spans="1:11" s="178" customFormat="1" x14ac:dyDescent="0.3">
      <c r="A34" s="161"/>
      <c r="B34" s="161"/>
      <c r="C34" s="161"/>
      <c r="D34" s="161"/>
      <c r="E34" s="161"/>
      <c r="F34" s="161"/>
      <c r="G34" s="161"/>
      <c r="H34" s="161"/>
      <c r="I34" s="161"/>
      <c r="J34" s="161"/>
      <c r="K34" s="161"/>
    </row>
  </sheetData>
  <pageMargins left="0.5" right="0.5" top="0.75" bottom="0.75" header="0.3" footer="0.3"/>
  <pageSetup paperSize="9" scale="68" fitToHeight="0" orientation="landscape" r:id="rId1"/>
</worksheet>
</file>

<file path=xl/worksheets/sheet2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8.777343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1.332031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N11+I17</f>
        <v>2.9343334900000002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2331</v>
      </c>
      <c r="D4" s="698" t="s">
        <v>541</v>
      </c>
      <c r="J4" s="698" t="s">
        <v>538</v>
      </c>
      <c r="M4" s="698" t="s">
        <v>539</v>
      </c>
      <c r="N4" s="336">
        <f>N1*N2</f>
        <v>2.9343334900000002</v>
      </c>
    </row>
    <row r="5" spans="1:14" x14ac:dyDescent="0.3">
      <c r="A5" s="698" t="s">
        <v>537</v>
      </c>
      <c r="B5" s="199" t="s">
        <v>314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799</v>
      </c>
      <c r="C10" s="168" t="s">
        <v>607</v>
      </c>
      <c r="D10" s="323">
        <v>4.2</v>
      </c>
      <c r="E10" s="168">
        <v>0.185</v>
      </c>
      <c r="F10" s="168" t="s">
        <v>644</v>
      </c>
      <c r="G10" s="168">
        <v>0.14699999999999999</v>
      </c>
      <c r="H10" s="219" t="s">
        <v>644</v>
      </c>
      <c r="I10" s="269" t="s">
        <v>2332</v>
      </c>
      <c r="J10" s="340">
        <f>E10*G10</f>
        <v>2.7194999999999997E-2</v>
      </c>
      <c r="K10" s="228">
        <v>1E-3</v>
      </c>
      <c r="L10" s="219">
        <v>2710</v>
      </c>
      <c r="M10" s="222">
        <v>1</v>
      </c>
      <c r="N10" s="322">
        <f>IF(J10="",D10*M10,D10*J10*K10*L10*M10)</f>
        <v>0.30953348999999997</v>
      </c>
    </row>
    <row r="11" spans="1:14" s="178" customFormat="1" x14ac:dyDescent="0.3">
      <c r="M11" s="701" t="s">
        <v>547</v>
      </c>
      <c r="N11" s="702">
        <f>SUM(N10:N10)</f>
        <v>0.30953348999999997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28.8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3"/>
      <c r="H14" s="623"/>
      <c r="I14" s="323">
        <f>IF('MS 01006'!$H14&lt;&gt;"",'MS 01006'!$D14*'MS 01006'!$F14*'MS 01006'!$H14,'MS 01006'!$D14*'MS 01006'!$F14)</f>
        <v>1.3</v>
      </c>
    </row>
    <row r="15" spans="1:14" ht="28.8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62.48</v>
      </c>
      <c r="G15" s="184" t="s">
        <v>710</v>
      </c>
      <c r="H15" s="168">
        <v>1</v>
      </c>
      <c r="I15" s="323">
        <f>IF('MS 01006'!$H15&lt;&gt;"",'MS 01006'!$D15*'MS 01006'!$F15*'MS 01006'!$H15,'MS 01006'!$D15*'MS 01006'!$F15)</f>
        <v>0.62480000000000002</v>
      </c>
    </row>
    <row r="16" spans="1:14" ht="28.8" x14ac:dyDescent="0.3">
      <c r="A16" s="168">
        <v>30</v>
      </c>
      <c r="B16" s="180" t="s">
        <v>791</v>
      </c>
      <c r="C16" s="171"/>
      <c r="D16" s="323">
        <v>0.35</v>
      </c>
      <c r="E16" s="168" t="s">
        <v>843</v>
      </c>
      <c r="F16" s="168">
        <v>2</v>
      </c>
      <c r="G16" s="168"/>
      <c r="H16" s="168"/>
      <c r="I16" s="322">
        <f>IF('MS 01006'!$H16&lt;&gt;"",'MS 01006'!$D16*'MS 01006'!$F16*'MS 01006'!$H16,'MS 01006'!$D16*'MS 01006'!$F16)</f>
        <v>0.7</v>
      </c>
    </row>
    <row r="17" spans="1:11" s="178" customFormat="1" x14ac:dyDescent="0.3">
      <c r="H17" s="703" t="s">
        <v>547</v>
      </c>
      <c r="I17" s="702">
        <f>SUM(I14:I16)</f>
        <v>2.6248</v>
      </c>
    </row>
    <row r="19" spans="1:11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</row>
    <row r="22" spans="1:11" x14ac:dyDescent="0.3">
      <c r="K22" s="178"/>
    </row>
    <row r="28" spans="1:11" s="178" customFormat="1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</row>
    <row r="30" spans="1:11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</row>
    <row r="33" spans="1:11" s="178" customFormat="1" x14ac:dyDescent="0.3">
      <c r="A33" s="161"/>
      <c r="B33" s="161"/>
      <c r="C33" s="161"/>
      <c r="D33" s="161"/>
      <c r="E33" s="161"/>
      <c r="F33" s="161"/>
      <c r="G33" s="161"/>
      <c r="H33" s="161"/>
      <c r="I33" s="161"/>
      <c r="J33" s="161"/>
      <c r="K33" s="161"/>
    </row>
  </sheetData>
  <pageMargins left="0.5" right="0.5" top="0.75" bottom="0.75" header="0.3" footer="0.3"/>
  <pageSetup paperSize="9" scale="69" fitToHeight="0" orientation="landscape" r:id="rId1"/>
</worksheet>
</file>

<file path=xl/worksheets/sheet2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7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6.5546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N11+I17</f>
        <v>3.2246789040000001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2333</v>
      </c>
      <c r="D4" s="698" t="s">
        <v>541</v>
      </c>
      <c r="J4" s="698" t="s">
        <v>538</v>
      </c>
      <c r="M4" s="698" t="s">
        <v>539</v>
      </c>
      <c r="N4" s="336">
        <f>N1*N2</f>
        <v>3.2246789040000001</v>
      </c>
    </row>
    <row r="5" spans="1:14" x14ac:dyDescent="0.3">
      <c r="A5" s="698" t="s">
        <v>537</v>
      </c>
      <c r="B5" s="199" t="s">
        <v>315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799</v>
      </c>
      <c r="C10" s="168" t="s">
        <v>607</v>
      </c>
      <c r="D10" s="323">
        <v>4.2</v>
      </c>
      <c r="E10" s="168">
        <v>0.22800000000000001</v>
      </c>
      <c r="F10" s="168" t="s">
        <v>644</v>
      </c>
      <c r="G10" s="168">
        <v>0.16600000000000001</v>
      </c>
      <c r="H10" s="219" t="s">
        <v>644</v>
      </c>
      <c r="I10" s="269" t="s">
        <v>2334</v>
      </c>
      <c r="J10" s="624">
        <f>E10*G10</f>
        <v>3.7848000000000007E-2</v>
      </c>
      <c r="K10" s="380">
        <v>1.5E-3</v>
      </c>
      <c r="L10" s="219">
        <v>2710</v>
      </c>
      <c r="M10" s="222">
        <v>1</v>
      </c>
      <c r="N10" s="322">
        <f>IF(J10="",D10*M10,D10*J10*K10*L10*M10)</f>
        <v>0.64617890400000011</v>
      </c>
    </row>
    <row r="11" spans="1:14" s="178" customFormat="1" x14ac:dyDescent="0.3">
      <c r="M11" s="701" t="s">
        <v>547</v>
      </c>
      <c r="N11" s="702">
        <f>SUM(N10:N10)</f>
        <v>0.64617890400000011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28.8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3"/>
      <c r="H14" s="623"/>
      <c r="I14" s="323">
        <f>IF('MS 01007'!$H14&lt;&gt;"",'MS 01007'!$D14*'MS 01007'!$F14*'MS 01007'!$H14,'MS 01007'!$D14*'MS 01007'!$F14)</f>
        <v>1.3</v>
      </c>
    </row>
    <row r="15" spans="1:14" ht="28.8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77.849999999999994</v>
      </c>
      <c r="G15" s="184" t="s">
        <v>710</v>
      </c>
      <c r="H15" s="168">
        <v>1</v>
      </c>
      <c r="I15" s="323">
        <f>IF('MS 01007'!$H15&lt;&gt;"",'MS 01007'!$D15*'MS 01007'!$F15*'MS 01007'!$H15,'MS 01007'!$D15*'MS 01007'!$F15)</f>
        <v>0.77849999999999997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2">
        <f>IF('MS 01007'!$H16&lt;&gt;"",'MS 01007'!$D16*'MS 01007'!$F16*'MS 01007'!$H16,'MS 01007'!$D16*'MS 01007'!$F16)</f>
        <v>0.5</v>
      </c>
    </row>
    <row r="17" spans="1:11" s="178" customFormat="1" x14ac:dyDescent="0.3">
      <c r="H17" s="703" t="s">
        <v>547</v>
      </c>
      <c r="I17" s="702">
        <f>SUM(I14:I16)</f>
        <v>2.5785</v>
      </c>
    </row>
    <row r="19" spans="1:11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</row>
    <row r="22" spans="1:11" x14ac:dyDescent="0.3">
      <c r="K22" s="178"/>
    </row>
    <row r="28" spans="1:11" s="178" customFormat="1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</row>
    <row r="30" spans="1:11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</row>
    <row r="33" spans="1:11" s="178" customFormat="1" x14ac:dyDescent="0.3">
      <c r="A33" s="161"/>
      <c r="B33" s="161"/>
      <c r="C33" s="161"/>
      <c r="D33" s="161"/>
      <c r="E33" s="161"/>
      <c r="F33" s="161"/>
      <c r="G33" s="161"/>
      <c r="H33" s="161"/>
      <c r="I33" s="161"/>
      <c r="J33" s="161"/>
      <c r="K33" s="161"/>
    </row>
  </sheetData>
  <pageMargins left="0.5" right="0.5" top="0.75" bottom="0.75" header="0.3" footer="0.3"/>
  <pageSetup paperSize="9" scale="70" fitToHeight="0" orientation="landscape" r:id="rId1"/>
</worksheet>
</file>

<file path=xl/worksheets/sheet2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0.109375" style="161" customWidth="1"/>
    <col min="7" max="7" width="17.886718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N11+I16</f>
        <v>1.0303538749999999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2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317</v>
      </c>
      <c r="D4" s="698" t="s">
        <v>541</v>
      </c>
      <c r="J4" s="698" t="s">
        <v>538</v>
      </c>
      <c r="M4" s="698" t="s">
        <v>539</v>
      </c>
      <c r="N4" s="336">
        <f>N1*N2</f>
        <v>2.0607077499999997</v>
      </c>
    </row>
    <row r="5" spans="1:14" x14ac:dyDescent="0.3">
      <c r="A5" s="698" t="s">
        <v>537</v>
      </c>
      <c r="B5" s="199" t="s">
        <v>316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3.5000000000000003E-2</v>
      </c>
      <c r="F10" s="168" t="s">
        <v>644</v>
      </c>
      <c r="G10" s="168">
        <v>0.03</v>
      </c>
      <c r="H10" s="219" t="s">
        <v>644</v>
      </c>
      <c r="I10" s="269" t="s">
        <v>2335</v>
      </c>
      <c r="J10" s="340">
        <f>E10*G10</f>
        <v>1.0500000000000002E-3</v>
      </c>
      <c r="K10" s="380">
        <v>1.5E-3</v>
      </c>
      <c r="L10" s="219">
        <v>7860</v>
      </c>
      <c r="M10" s="222">
        <v>1</v>
      </c>
      <c r="N10" s="322">
        <f>IF(J10="",D10*M10,D10*J10*K10*L10*M10)</f>
        <v>2.7853875000000004E-2</v>
      </c>
    </row>
    <row r="11" spans="1:14" s="178" customFormat="1" x14ac:dyDescent="0.3">
      <c r="M11" s="701" t="s">
        <v>547</v>
      </c>
      <c r="N11" s="702">
        <f>SUM(N10:N10)</f>
        <v>2.7853875000000004E-2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43.2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2" t="s">
        <v>1508</v>
      </c>
      <c r="H14" s="623">
        <v>0.5</v>
      </c>
      <c r="I14" s="323">
        <f>IF('MS 01008'!$H14&lt;&gt;"",'MS 01008'!$D14*'MS 01008'!$F14*'MS 01008'!$H14,'MS 01008'!$D14*'MS 01008'!$F14)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11.75</v>
      </c>
      <c r="G15" s="184" t="s">
        <v>598</v>
      </c>
      <c r="H15" s="168">
        <v>3</v>
      </c>
      <c r="I15" s="323">
        <f>IF('MS 01008'!$H15&lt;&gt;"",'MS 01008'!$D15*'MS 01008'!$F15*'MS 01008'!$H15,'MS 01008'!$D15*'MS 01008'!$F15)</f>
        <v>0.35250000000000004</v>
      </c>
      <c r="J15" s="178"/>
    </row>
    <row r="16" spans="1:14" s="178" customFormat="1" x14ac:dyDescent="0.3">
      <c r="H16" s="703" t="s">
        <v>547</v>
      </c>
      <c r="I16" s="702">
        <f>SUM(I14:I15)</f>
        <v>1.0024999999999999</v>
      </c>
    </row>
    <row r="18" spans="1:11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</row>
    <row r="21" spans="1:11" x14ac:dyDescent="0.3">
      <c r="J21" s="178"/>
      <c r="K21" s="178"/>
    </row>
    <row r="27" spans="1:11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2" spans="1:11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</row>
  </sheetData>
  <pageMargins left="0.5" right="0.5" top="0.75" bottom="0.75" header="0.3" footer="0.3"/>
  <pageSetup paperSize="9" scale="72" fitToHeight="0" orientation="landscape" r:id="rId1"/>
</worksheet>
</file>

<file path=xl/worksheets/sheet2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7.218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N11+I16</f>
        <v>1.0444538749999999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2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319</v>
      </c>
      <c r="D4" s="698" t="s">
        <v>541</v>
      </c>
      <c r="J4" s="698" t="s">
        <v>538</v>
      </c>
      <c r="M4" s="698" t="s">
        <v>539</v>
      </c>
      <c r="N4" s="336">
        <f>N1*N2</f>
        <v>2.0889077499999997</v>
      </c>
    </row>
    <row r="5" spans="1:14" x14ac:dyDescent="0.3">
      <c r="A5" s="698" t="s">
        <v>537</v>
      </c>
      <c r="B5" s="199" t="s">
        <v>318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3.5000000000000003E-2</v>
      </c>
      <c r="F10" s="168" t="s">
        <v>644</v>
      </c>
      <c r="G10" s="168">
        <v>0.03</v>
      </c>
      <c r="H10" s="219" t="s">
        <v>644</v>
      </c>
      <c r="I10" s="269" t="s">
        <v>2335</v>
      </c>
      <c r="J10" s="340">
        <f>E10*G10</f>
        <v>1.0500000000000002E-3</v>
      </c>
      <c r="K10" s="380">
        <v>1.5E-3</v>
      </c>
      <c r="L10" s="219">
        <v>7860</v>
      </c>
      <c r="M10" s="222">
        <v>1</v>
      </c>
      <c r="N10" s="322">
        <f>IF(J10="",D10*M10,D10*J10*K10*L10*M10)</f>
        <v>2.7853875000000004E-2</v>
      </c>
    </row>
    <row r="11" spans="1:14" s="178" customFormat="1" x14ac:dyDescent="0.3">
      <c r="M11" s="701" t="s">
        <v>547</v>
      </c>
      <c r="N11" s="702">
        <f>SUM(N10:N10)</f>
        <v>2.7853875000000004E-2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278" customFormat="1" ht="43.2" x14ac:dyDescent="0.3">
      <c r="A14" s="622">
        <v>10</v>
      </c>
      <c r="B14" s="315" t="s">
        <v>589</v>
      </c>
      <c r="C14" s="180" t="s">
        <v>590</v>
      </c>
      <c r="D14" s="323">
        <v>1.3</v>
      </c>
      <c r="E14" s="656"/>
      <c r="F14" s="622">
        <v>1</v>
      </c>
      <c r="G14" s="622" t="s">
        <v>1508</v>
      </c>
      <c r="H14" s="622">
        <v>0.5</v>
      </c>
      <c r="I14" s="362">
        <f>IF('MS 01009'!$H14&lt;&gt;"",'MS 01009'!$D14*'MS 01009'!$F14*'MS 01009'!$H14,'MS 01009'!$D14*'MS 01009'!$F14)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12.22</v>
      </c>
      <c r="G15" s="184" t="s">
        <v>598</v>
      </c>
      <c r="H15" s="168">
        <v>3</v>
      </c>
      <c r="I15" s="323">
        <f>IF('MS 01009'!$H15&lt;&gt;"",'MS 01009'!$D15*'MS 01009'!$F15*'MS 01009'!$H15,'MS 01009'!$D15*'MS 01009'!$F15)</f>
        <v>0.36660000000000004</v>
      </c>
      <c r="J15" s="178"/>
    </row>
    <row r="16" spans="1:14" s="178" customFormat="1" x14ac:dyDescent="0.3">
      <c r="H16" s="703" t="s">
        <v>547</v>
      </c>
      <c r="I16" s="702">
        <f>SUM(I14:I15)</f>
        <v>1.0165999999999999</v>
      </c>
    </row>
    <row r="18" spans="1:11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</row>
    <row r="21" spans="1:11" x14ac:dyDescent="0.3">
      <c r="J21" s="178"/>
      <c r="K21" s="178"/>
    </row>
    <row r="27" spans="1:11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2" spans="1:11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</row>
  </sheetData>
  <pageMargins left="0.5" right="0.5" top="0.75" bottom="0.75" header="0.3" footer="0.3"/>
  <pageSetup paperSize="9" scale="71" fitToHeight="0" orientation="landscape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92"/>
  <sheetViews>
    <sheetView showGridLines="0" workbookViewId="0"/>
  </sheetViews>
  <sheetFormatPr defaultColWidth="11.44140625" defaultRowHeight="14.4" x14ac:dyDescent="0.3"/>
  <cols>
    <col min="2" max="2" width="27.5546875" customWidth="1"/>
    <col min="3" max="3" width="30.88671875" customWidth="1"/>
    <col min="7" max="7" width="18.109375" customWidth="1"/>
    <col min="9" max="9" width="35.88671875" customWidth="1"/>
    <col min="13" max="13" width="19.10937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11</v>
      </c>
      <c r="M1" s="197" t="s">
        <v>546</v>
      </c>
      <c r="N1" s="164">
        <f>N11+I17</f>
        <v>3.7874069749999997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1</v>
      </c>
    </row>
    <row r="3" spans="1:14" x14ac:dyDescent="0.3">
      <c r="A3" s="197" t="s">
        <v>534</v>
      </c>
      <c r="B3" t="s">
        <v>705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1" t="s">
        <v>724</v>
      </c>
      <c r="D4" s="197" t="s">
        <v>541</v>
      </c>
      <c r="J4" s="197" t="s">
        <v>538</v>
      </c>
      <c r="M4" s="197" t="s">
        <v>539</v>
      </c>
      <c r="N4" s="164">
        <f>N2*N1</f>
        <v>3.7874069749999997</v>
      </c>
    </row>
    <row r="5" spans="1:14" x14ac:dyDescent="0.3">
      <c r="A5" s="197" t="s">
        <v>537</v>
      </c>
      <c r="B5" s="199" t="s">
        <v>65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197" t="s">
        <v>542</v>
      </c>
      <c r="B7" s="161" t="s">
        <v>725</v>
      </c>
    </row>
    <row r="9" spans="1:14" x14ac:dyDescent="0.3">
      <c r="A9" s="203" t="s">
        <v>544</v>
      </c>
      <c r="B9" s="203" t="s">
        <v>581</v>
      </c>
      <c r="C9" s="203" t="s">
        <v>549</v>
      </c>
      <c r="D9" s="203" t="s">
        <v>550</v>
      </c>
      <c r="E9" s="203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x14ac:dyDescent="0.3">
      <c r="A10" s="168">
        <v>10</v>
      </c>
      <c r="B10" s="168" t="s">
        <v>726</v>
      </c>
      <c r="C10" s="184" t="s">
        <v>19</v>
      </c>
      <c r="D10" s="170">
        <v>2.25</v>
      </c>
      <c r="E10" s="168">
        <v>77.5</v>
      </c>
      <c r="F10" s="168" t="s">
        <v>573</v>
      </c>
      <c r="G10" s="168">
        <v>76</v>
      </c>
      <c r="H10" s="219" t="s">
        <v>573</v>
      </c>
      <c r="I10" s="220" t="s">
        <v>727</v>
      </c>
      <c r="J10" s="227">
        <f>0.0775*0.076</f>
        <v>5.8899999999999994E-3</v>
      </c>
      <c r="K10" s="219">
        <v>1.5E-3</v>
      </c>
      <c r="L10" s="219">
        <v>7860</v>
      </c>
      <c r="M10" s="168">
        <v>1</v>
      </c>
      <c r="N10" s="223">
        <f>M10*L10*J10*K10*D10</f>
        <v>0.15624697499999998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212" t="s">
        <v>547</v>
      </c>
      <c r="N11" s="224">
        <f>N10</f>
        <v>0.15624697499999998</v>
      </c>
    </row>
    <row r="13" spans="1:14" x14ac:dyDescent="0.3">
      <c r="A13" s="203" t="s">
        <v>544</v>
      </c>
      <c r="B13" s="203" t="s">
        <v>548</v>
      </c>
      <c r="C13" s="203" t="s">
        <v>549</v>
      </c>
      <c r="D13" s="203" t="s">
        <v>550</v>
      </c>
      <c r="E13" s="203" t="s">
        <v>551</v>
      </c>
      <c r="F13" s="203" t="s">
        <v>28</v>
      </c>
      <c r="G13" s="203" t="s">
        <v>552</v>
      </c>
      <c r="H13" s="203" t="s">
        <v>553</v>
      </c>
      <c r="I13" s="203" t="s">
        <v>547</v>
      </c>
      <c r="J13" s="178"/>
      <c r="K13" s="178"/>
      <c r="L13" s="178"/>
      <c r="M13" s="178"/>
      <c r="N13" s="178"/>
    </row>
    <row r="14" spans="1:14" ht="28.8" x14ac:dyDescent="0.3">
      <c r="A14" s="179">
        <v>10</v>
      </c>
      <c r="B14" s="180" t="s">
        <v>589</v>
      </c>
      <c r="C14" s="179"/>
      <c r="D14" s="170">
        <v>1.3</v>
      </c>
      <c r="E14" s="180" t="s">
        <v>556</v>
      </c>
      <c r="F14" s="179">
        <v>1</v>
      </c>
      <c r="G14" s="179"/>
      <c r="H14" s="179"/>
      <c r="I14" s="214">
        <f>D14</f>
        <v>1.3</v>
      </c>
    </row>
    <row r="15" spans="1:14" x14ac:dyDescent="0.3">
      <c r="A15" s="168">
        <v>20</v>
      </c>
      <c r="B15" s="315" t="s">
        <v>591</v>
      </c>
      <c r="C15" s="168" t="s">
        <v>728</v>
      </c>
      <c r="D15" s="170">
        <v>0.01</v>
      </c>
      <c r="E15" s="168" t="s">
        <v>593</v>
      </c>
      <c r="F15" s="316">
        <v>69.372</v>
      </c>
      <c r="G15" s="168" t="s">
        <v>729</v>
      </c>
      <c r="H15" s="168">
        <v>3</v>
      </c>
      <c r="I15" s="170">
        <f>H15*F15*D15</f>
        <v>2.0811599999999997</v>
      </c>
    </row>
    <row r="16" spans="1:14" x14ac:dyDescent="0.3">
      <c r="A16" s="168">
        <v>30</v>
      </c>
      <c r="B16" s="171" t="s">
        <v>702</v>
      </c>
      <c r="C16" s="168" t="s">
        <v>728</v>
      </c>
      <c r="D16" s="170">
        <v>0.25</v>
      </c>
      <c r="E16" s="168" t="s">
        <v>704</v>
      </c>
      <c r="F16" s="168">
        <v>1</v>
      </c>
      <c r="G16" s="168"/>
      <c r="H16" s="168"/>
      <c r="I16" s="223">
        <v>0.25</v>
      </c>
    </row>
    <row r="17" spans="1:14" x14ac:dyDescent="0.3">
      <c r="A17" s="178"/>
      <c r="B17" s="178"/>
      <c r="C17" s="178"/>
      <c r="D17" s="178"/>
      <c r="E17" s="178"/>
      <c r="F17" s="178"/>
      <c r="G17" s="178"/>
      <c r="H17" s="212" t="s">
        <v>547</v>
      </c>
      <c r="I17" s="224">
        <f>SUM(I14:I16)</f>
        <v>3.6311599999999995</v>
      </c>
      <c r="J17" s="178"/>
      <c r="K17" s="178"/>
      <c r="L17" s="178"/>
      <c r="M17" s="178"/>
      <c r="N17" s="178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</sheetData>
  <pageMargins left="0.7" right="0.7" top="0.75" bottom="0.75" header="0.3" footer="0.3"/>
  <pageSetup paperSize="9" scale="55" fitToHeight="0" orientation="landscape" r:id="rId1"/>
</worksheet>
</file>

<file path=xl/worksheets/sheet2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8.441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N11+I16</f>
        <v>0.69995387500000006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4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321</v>
      </c>
      <c r="D4" s="698" t="s">
        <v>541</v>
      </c>
      <c r="J4" s="698" t="s">
        <v>538</v>
      </c>
      <c r="M4" s="698" t="s">
        <v>539</v>
      </c>
      <c r="N4" s="336">
        <f>N1*N2</f>
        <v>2.7998155000000002</v>
      </c>
    </row>
    <row r="5" spans="1:14" x14ac:dyDescent="0.3">
      <c r="A5" s="698" t="s">
        <v>537</v>
      </c>
      <c r="B5" s="199" t="s">
        <v>320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3.5000000000000003E-2</v>
      </c>
      <c r="F10" s="168" t="s">
        <v>644</v>
      </c>
      <c r="G10" s="168">
        <v>0.03</v>
      </c>
      <c r="H10" s="219" t="s">
        <v>644</v>
      </c>
      <c r="I10" s="269" t="s">
        <v>2335</v>
      </c>
      <c r="J10" s="340">
        <f>E10*G10</f>
        <v>1.0500000000000002E-3</v>
      </c>
      <c r="K10" s="380">
        <v>1.5E-3</v>
      </c>
      <c r="L10" s="219">
        <v>7860</v>
      </c>
      <c r="M10" s="222">
        <v>1</v>
      </c>
      <c r="N10" s="322">
        <f>IF(J10="",D10*M10,D10*J10*K10*L10*M10)</f>
        <v>2.7853875000000004E-2</v>
      </c>
    </row>
    <row r="11" spans="1:14" s="178" customFormat="1" x14ac:dyDescent="0.3">
      <c r="M11" s="701" t="s">
        <v>547</v>
      </c>
      <c r="N11" s="702">
        <f>SUM(N10:N10)</f>
        <v>2.7853875000000004E-2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43.2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2" t="s">
        <v>1410</v>
      </c>
      <c r="H14" s="622">
        <v>0.25</v>
      </c>
      <c r="I14" s="323">
        <f>IF('MS 01010'!$H14&lt;&gt;"",'MS 01010'!$D14*'MS 01010'!$F14*'MS 01010'!$H14,'MS 01010'!$D14*'MS 01010'!$F14)</f>
        <v>0.32500000000000001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11.57</v>
      </c>
      <c r="G15" s="184" t="s">
        <v>598</v>
      </c>
      <c r="H15" s="168">
        <v>3</v>
      </c>
      <c r="I15" s="323">
        <f>IF('MS 01010'!$H15&lt;&gt;"",'MS 01010'!$D15*'MS 01010'!$F15*'MS 01010'!$H15,'MS 01010'!$D15*'MS 01010'!$F15)</f>
        <v>0.34710000000000002</v>
      </c>
      <c r="J15" s="178"/>
    </row>
    <row r="16" spans="1:14" s="178" customFormat="1" x14ac:dyDescent="0.3">
      <c r="H16" s="703" t="s">
        <v>547</v>
      </c>
      <c r="I16" s="702">
        <f>SUM(I14:I15)</f>
        <v>0.67210000000000003</v>
      </c>
    </row>
    <row r="18" spans="1:11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</row>
    <row r="21" spans="1:11" x14ac:dyDescent="0.3">
      <c r="J21" s="178"/>
      <c r="K21" s="178"/>
    </row>
    <row r="27" spans="1:11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2" spans="1:11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</row>
  </sheetData>
  <pageMargins left="0.5" right="0.5" top="0.75" bottom="0.75" header="0.3" footer="0.3"/>
  <pageSetup paperSize="9" scale="71" fitToHeight="0" orientation="landscape" r:id="rId1"/>
</worksheet>
</file>

<file path=xl/worksheets/sheet2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9.55468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N11+I16</f>
        <v>0.70595387499999995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2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323</v>
      </c>
      <c r="D4" s="698" t="s">
        <v>541</v>
      </c>
      <c r="J4" s="698" t="s">
        <v>538</v>
      </c>
      <c r="M4" s="698" t="s">
        <v>539</v>
      </c>
      <c r="N4" s="336">
        <f>N1*N2</f>
        <v>1.4119077499999999</v>
      </c>
    </row>
    <row r="5" spans="1:14" x14ac:dyDescent="0.3">
      <c r="A5" s="698" t="s">
        <v>537</v>
      </c>
      <c r="B5" s="199" t="s">
        <v>322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3.5000000000000003E-2</v>
      </c>
      <c r="F10" s="168" t="s">
        <v>644</v>
      </c>
      <c r="G10" s="168">
        <v>0.03</v>
      </c>
      <c r="H10" s="219" t="s">
        <v>644</v>
      </c>
      <c r="I10" s="269" t="s">
        <v>2335</v>
      </c>
      <c r="J10" s="340">
        <f>E10*G10</f>
        <v>1.0500000000000002E-3</v>
      </c>
      <c r="K10" s="380">
        <v>1.5E-3</v>
      </c>
      <c r="L10" s="219">
        <v>7860</v>
      </c>
      <c r="M10" s="222">
        <v>1</v>
      </c>
      <c r="N10" s="322">
        <f>IF(J10="",D10*M10,D10*J10*K10*L10*M10)</f>
        <v>2.7853875000000004E-2</v>
      </c>
    </row>
    <row r="11" spans="1:14" s="178" customFormat="1" x14ac:dyDescent="0.3">
      <c r="M11" s="701" t="s">
        <v>547</v>
      </c>
      <c r="N11" s="702">
        <f>SUM(N10:N10)</f>
        <v>2.7853875000000004E-2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43.2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2" t="s">
        <v>1410</v>
      </c>
      <c r="H14" s="622">
        <v>0.25</v>
      </c>
      <c r="I14" s="323">
        <f>IF('MS 01011'!$H14&lt;&gt;"",'MS 01011'!$D14*'MS 01011'!$F14*'MS 01011'!$H14,'MS 01011'!$D14*'MS 01011'!$F14)</f>
        <v>0.32500000000000001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11.77</v>
      </c>
      <c r="G15" s="184" t="s">
        <v>598</v>
      </c>
      <c r="H15" s="168">
        <v>3</v>
      </c>
      <c r="I15" s="323">
        <f>IF('MS 01011'!$H15&lt;&gt;"",'MS 01011'!$D15*'MS 01011'!$F15*'MS 01011'!$H15,'MS 01011'!$D15*'MS 01011'!$F15)</f>
        <v>0.35309999999999997</v>
      </c>
      <c r="J15" s="178"/>
    </row>
    <row r="16" spans="1:14" s="178" customFormat="1" x14ac:dyDescent="0.3">
      <c r="H16" s="703" t="s">
        <v>547</v>
      </c>
      <c r="I16" s="702">
        <f>SUM(I14:I15)</f>
        <v>0.67809999999999993</v>
      </c>
    </row>
    <row r="18" spans="1:11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</row>
    <row r="21" spans="1:11" x14ac:dyDescent="0.3">
      <c r="J21" s="178"/>
      <c r="K21" s="178"/>
    </row>
    <row r="27" spans="1:11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2" spans="1:11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</row>
  </sheetData>
  <pageMargins left="0.5" right="0.5" top="0.75" bottom="0.75" header="0.3" footer="0.3"/>
  <pageSetup paperSize="9" scale="71" fitToHeight="0" orientation="landscape" r:id="rId1"/>
</worksheet>
</file>

<file path=xl/worksheets/sheet2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8.55468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N11+I16</f>
        <v>0.69995387500000006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4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325</v>
      </c>
      <c r="D4" s="698" t="s">
        <v>541</v>
      </c>
      <c r="J4" s="698" t="s">
        <v>538</v>
      </c>
      <c r="M4" s="698" t="s">
        <v>539</v>
      </c>
      <c r="N4" s="336">
        <f>N1*N2</f>
        <v>2.7998155000000002</v>
      </c>
    </row>
    <row r="5" spans="1:14" x14ac:dyDescent="0.3">
      <c r="A5" s="698" t="s">
        <v>537</v>
      </c>
      <c r="B5" s="199" t="s">
        <v>324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3.5000000000000003E-2</v>
      </c>
      <c r="F10" s="168" t="s">
        <v>644</v>
      </c>
      <c r="G10" s="168">
        <v>0.03</v>
      </c>
      <c r="H10" s="219" t="s">
        <v>644</v>
      </c>
      <c r="I10" s="269" t="s">
        <v>2335</v>
      </c>
      <c r="J10" s="340">
        <f>E10*G10</f>
        <v>1.0500000000000002E-3</v>
      </c>
      <c r="K10" s="380">
        <v>1.5E-3</v>
      </c>
      <c r="L10" s="219">
        <v>7860</v>
      </c>
      <c r="M10" s="222">
        <v>1</v>
      </c>
      <c r="N10" s="322">
        <f>IF(J10="",D10*M10,D10*J10*K10*L10*M10)</f>
        <v>2.7853875000000004E-2</v>
      </c>
    </row>
    <row r="11" spans="1:14" s="178" customFormat="1" x14ac:dyDescent="0.3">
      <c r="M11" s="701" t="s">
        <v>547</v>
      </c>
      <c r="N11" s="702">
        <f>SUM(N10:N10)</f>
        <v>2.7853875000000004E-2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43.2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2" t="s">
        <v>1410</v>
      </c>
      <c r="H14" s="622">
        <v>0.25</v>
      </c>
      <c r="I14" s="323">
        <f>IF('MS 01012'!$H14&lt;&gt;"",'MS 01012'!$D14*'MS 01012'!$F14*'MS 01012'!$H14,'MS 01012'!$D14*'MS 01012'!$F14)</f>
        <v>0.32500000000000001</v>
      </c>
    </row>
    <row r="15" spans="1:14" x14ac:dyDescent="0.3">
      <c r="A15" s="168">
        <v>20</v>
      </c>
      <c r="B15" s="180" t="s">
        <v>591</v>
      </c>
      <c r="C15" s="168"/>
      <c r="D15" s="323">
        <v>0.01</v>
      </c>
      <c r="E15" s="168" t="s">
        <v>593</v>
      </c>
      <c r="F15" s="168">
        <v>11.57</v>
      </c>
      <c r="G15" s="184" t="s">
        <v>598</v>
      </c>
      <c r="H15" s="168">
        <v>3</v>
      </c>
      <c r="I15" s="323">
        <f>IF('MS 01012'!$H15&lt;&gt;"",'MS 01012'!$D15*'MS 01012'!$F15*'MS 01012'!$H15,'MS 01012'!$D15*'MS 01012'!$F15)</f>
        <v>0.34710000000000002</v>
      </c>
      <c r="J15" s="178"/>
    </row>
    <row r="16" spans="1:14" s="178" customFormat="1" x14ac:dyDescent="0.3">
      <c r="H16" s="703" t="s">
        <v>547</v>
      </c>
      <c r="I16" s="702">
        <f>SUM(I14:I15)</f>
        <v>0.67210000000000003</v>
      </c>
    </row>
    <row r="18" spans="1:11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</row>
    <row r="21" spans="1:11" x14ac:dyDescent="0.3">
      <c r="J21" s="178"/>
      <c r="K21" s="178"/>
    </row>
    <row r="27" spans="1:11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2" spans="1:11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</row>
  </sheetData>
  <pageMargins left="0.5" right="0.5" top="0.75" bottom="0.75" header="0.3" footer="0.3"/>
  <pageSetup paperSize="9" scale="71" fitToHeight="0" orientation="landscape" r:id="rId1"/>
</worksheet>
</file>

<file path=xl/worksheets/sheet2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9.55468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N11+I16</f>
        <v>0.71225387500000004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4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327</v>
      </c>
      <c r="D4" s="698" t="s">
        <v>541</v>
      </c>
      <c r="J4" s="698" t="s">
        <v>538</v>
      </c>
      <c r="M4" s="698" t="s">
        <v>539</v>
      </c>
      <c r="N4" s="336">
        <f>N1*N2</f>
        <v>2.8490155000000001</v>
      </c>
    </row>
    <row r="5" spans="1:14" x14ac:dyDescent="0.3">
      <c r="A5" s="698" t="s">
        <v>537</v>
      </c>
      <c r="B5" s="199" t="s">
        <v>326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3.5000000000000003E-2</v>
      </c>
      <c r="F10" s="168" t="s">
        <v>644</v>
      </c>
      <c r="G10" s="168">
        <v>0.03</v>
      </c>
      <c r="H10" s="219" t="s">
        <v>644</v>
      </c>
      <c r="I10" s="269" t="s">
        <v>2335</v>
      </c>
      <c r="J10" s="340">
        <f>E10*G10</f>
        <v>1.0500000000000002E-3</v>
      </c>
      <c r="K10" s="380">
        <v>1.5E-3</v>
      </c>
      <c r="L10" s="219">
        <v>7860</v>
      </c>
      <c r="M10" s="222">
        <v>1</v>
      </c>
      <c r="N10" s="322">
        <f>IF(J10="",D10*M10,D10*J10*K10*L10*M10)</f>
        <v>2.7853875000000004E-2</v>
      </c>
    </row>
    <row r="11" spans="1:14" s="178" customFormat="1" x14ac:dyDescent="0.3">
      <c r="M11" s="701" t="s">
        <v>547</v>
      </c>
      <c r="N11" s="704">
        <f>SUM(N10:N10)</f>
        <v>2.7853875000000004E-2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43.2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2" t="s">
        <v>1410</v>
      </c>
      <c r="H14" s="622">
        <v>0.25</v>
      </c>
      <c r="I14" s="323">
        <f>IF('MS 01013'!$H14&lt;&gt;"",'MS 01013'!$D14*'MS 01013'!$F14*'MS 01013'!$H14,'MS 01013'!$D14*'MS 01013'!$F14)</f>
        <v>0.32500000000000001</v>
      </c>
    </row>
    <row r="15" spans="1:14" x14ac:dyDescent="0.3">
      <c r="A15" s="168">
        <v>20</v>
      </c>
      <c r="B15" s="705" t="s">
        <v>591</v>
      </c>
      <c r="C15" s="168"/>
      <c r="D15" s="323">
        <v>0.01</v>
      </c>
      <c r="E15" s="168" t="s">
        <v>593</v>
      </c>
      <c r="F15" s="168">
        <v>11.98</v>
      </c>
      <c r="G15" s="184" t="s">
        <v>598</v>
      </c>
      <c r="H15" s="168">
        <v>3</v>
      </c>
      <c r="I15" s="323">
        <f>IF('MS 01013'!$H15&lt;&gt;"",'MS 01013'!$D15*'MS 01013'!$F15*'MS 01013'!$H15,'MS 01013'!$D15*'MS 01013'!$F15)</f>
        <v>0.3594</v>
      </c>
      <c r="J15" s="178"/>
    </row>
    <row r="16" spans="1:14" s="178" customFormat="1" x14ac:dyDescent="0.3">
      <c r="H16" s="701" t="s">
        <v>547</v>
      </c>
      <c r="I16" s="704">
        <f>SUM(I14:I15)</f>
        <v>0.68440000000000001</v>
      </c>
    </row>
    <row r="18" spans="1:11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</row>
    <row r="21" spans="1:11" x14ac:dyDescent="0.3">
      <c r="J21" s="178"/>
      <c r="K21" s="178"/>
    </row>
    <row r="26" spans="1:11" x14ac:dyDescent="0.3">
      <c r="A26" s="625"/>
      <c r="B26" s="289"/>
      <c r="C26" s="706"/>
      <c r="D26" s="625"/>
      <c r="E26" s="706"/>
      <c r="F26" s="625"/>
    </row>
    <row r="27" spans="1:11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2" spans="1:11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</row>
  </sheetData>
  <pageMargins left="0.5" right="0.5" top="0.75" bottom="0.75" header="0.3" footer="0.3"/>
  <pageSetup paperSize="9" scale="71" fitToHeight="0" orientation="landscape" r:id="rId1"/>
</worksheet>
</file>

<file path=xl/worksheets/sheet2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20" style="161" customWidth="1"/>
    <col min="8" max="8" width="13.8867187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5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N11+I16</f>
        <v>0.64325387499999997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4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329</v>
      </c>
      <c r="D4" s="698" t="s">
        <v>541</v>
      </c>
      <c r="J4" s="698" t="s">
        <v>538</v>
      </c>
      <c r="M4" s="698" t="s">
        <v>539</v>
      </c>
      <c r="N4" s="336">
        <f>N1*N2</f>
        <v>2.5730154999999999</v>
      </c>
    </row>
    <row r="5" spans="1:14" x14ac:dyDescent="0.3">
      <c r="A5" s="698" t="s">
        <v>537</v>
      </c>
      <c r="B5" s="199" t="s">
        <v>328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3.5000000000000003E-2</v>
      </c>
      <c r="F10" s="168" t="s">
        <v>644</v>
      </c>
      <c r="G10" s="168">
        <v>0.03</v>
      </c>
      <c r="H10" s="219" t="s">
        <v>644</v>
      </c>
      <c r="I10" s="269" t="s">
        <v>2335</v>
      </c>
      <c r="J10" s="340">
        <f>E10*G10</f>
        <v>1.0500000000000002E-3</v>
      </c>
      <c r="K10" s="380">
        <v>1.5E-3</v>
      </c>
      <c r="L10" s="219">
        <v>7860</v>
      </c>
      <c r="M10" s="222">
        <v>1</v>
      </c>
      <c r="N10" s="322">
        <f>IF(J10="",D10*M10,D10*J10*K10*L10*M10)</f>
        <v>2.7853875000000004E-2</v>
      </c>
    </row>
    <row r="11" spans="1:14" s="178" customFormat="1" x14ac:dyDescent="0.3">
      <c r="M11" s="701" t="s">
        <v>547</v>
      </c>
      <c r="N11" s="702">
        <f>SUM(N10:N10)</f>
        <v>2.7853875000000004E-2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43.2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2" t="s">
        <v>1410</v>
      </c>
      <c r="H14" s="622">
        <v>0.25</v>
      </c>
      <c r="I14" s="323">
        <f>IF('MS 01014'!$H14&lt;&gt;"",'MS 01014'!$D14*'MS 01014'!$F14*'MS 01014'!$H14,'MS 01014'!$D14*'MS 01014'!$F14)</f>
        <v>0.32500000000000001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9.68</v>
      </c>
      <c r="G15" s="184" t="s">
        <v>598</v>
      </c>
      <c r="H15" s="168">
        <v>3</v>
      </c>
      <c r="I15" s="323">
        <f>IF('MS 01014'!$H15&lt;&gt;"",'MS 01014'!$D15*'MS 01014'!$F15*'MS 01014'!$H15,'MS 01014'!$D15*'MS 01014'!$F15)</f>
        <v>0.29039999999999999</v>
      </c>
      <c r="J15" s="178"/>
    </row>
    <row r="16" spans="1:14" s="178" customFormat="1" x14ac:dyDescent="0.3">
      <c r="H16" s="703" t="s">
        <v>547</v>
      </c>
      <c r="I16" s="702">
        <f>SUM(I14:I15)</f>
        <v>0.61539999999999995</v>
      </c>
    </row>
    <row r="18" spans="1:11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</row>
    <row r="21" spans="1:11" x14ac:dyDescent="0.3">
      <c r="J21" s="178"/>
      <c r="K21" s="178"/>
    </row>
    <row r="27" spans="1:11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</row>
    <row r="29" spans="1:11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</row>
    <row r="32" spans="1:11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</row>
  </sheetData>
  <pageMargins left="0.5" right="0.5" top="0.75" bottom="0.75" header="0.3" footer="0.3"/>
  <pageSetup paperSize="9" scale="71" fitToHeight="0" orientation="landscape" r:id="rId1"/>
</worksheet>
</file>

<file path=xl/worksheets/sheet2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7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N11+I17</f>
        <v>7.4951147749999993</v>
      </c>
    </row>
    <row r="2" spans="1:14" x14ac:dyDescent="0.3">
      <c r="A2" s="698" t="s">
        <v>532</v>
      </c>
      <c r="B2" s="161" t="s">
        <v>1434</v>
      </c>
      <c r="C2" s="359" t="s">
        <v>732</v>
      </c>
      <c r="D2" s="707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308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331</v>
      </c>
      <c r="D4" s="698" t="s">
        <v>541</v>
      </c>
      <c r="J4" s="698" t="s">
        <v>538</v>
      </c>
      <c r="M4" s="698" t="s">
        <v>539</v>
      </c>
      <c r="N4" s="336">
        <f>N1*N2</f>
        <v>7.4951147749999993</v>
      </c>
    </row>
    <row r="5" spans="1:14" x14ac:dyDescent="0.3">
      <c r="A5" s="698" t="s">
        <v>537</v>
      </c>
      <c r="B5" s="199" t="s">
        <v>330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1948</v>
      </c>
      <c r="C10" s="168" t="s">
        <v>607</v>
      </c>
      <c r="D10" s="323">
        <v>2.25</v>
      </c>
      <c r="E10" s="168">
        <v>0.56499999999999995</v>
      </c>
      <c r="F10" s="168" t="s">
        <v>644</v>
      </c>
      <c r="G10" s="168">
        <v>7.3999999999999996E-2</v>
      </c>
      <c r="H10" s="219" t="s">
        <v>644</v>
      </c>
      <c r="I10" s="269" t="s">
        <v>2336</v>
      </c>
      <c r="J10" s="340">
        <f>E10*G10</f>
        <v>4.1809999999999993E-2</v>
      </c>
      <c r="K10" s="380">
        <v>1.5E-3</v>
      </c>
      <c r="L10" s="219">
        <v>7860</v>
      </c>
      <c r="M10" s="222">
        <v>1</v>
      </c>
      <c r="N10" s="322">
        <f>IF(J10="",D10*M10,D10*J10*K10*L10*M10)</f>
        <v>1.1091147749999999</v>
      </c>
    </row>
    <row r="11" spans="1:14" s="178" customFormat="1" x14ac:dyDescent="0.3">
      <c r="M11" s="701" t="s">
        <v>547</v>
      </c>
      <c r="N11" s="702">
        <f>SUM(N10:N10)</f>
        <v>1.1091147749999999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s="178" customFormat="1" ht="28.8" x14ac:dyDescent="0.3">
      <c r="A14" s="623">
        <v>10</v>
      </c>
      <c r="B14" s="315" t="s">
        <v>589</v>
      </c>
      <c r="C14" s="180" t="s">
        <v>590</v>
      </c>
      <c r="D14" s="323">
        <v>1.3</v>
      </c>
      <c r="E14" s="627"/>
      <c r="F14" s="623">
        <v>1</v>
      </c>
      <c r="G14" s="623"/>
      <c r="H14" s="623"/>
      <c r="I14" s="323">
        <f>IF('MS 01015'!$H14&lt;&gt;"",'MS 01015'!$D14*'MS 01015'!$F14*'MS 01015'!$H14,'MS 01015'!$D14*'MS 01015'!$F14)</f>
        <v>1.3</v>
      </c>
    </row>
    <row r="15" spans="1:14" ht="28.8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161.19999999999999</v>
      </c>
      <c r="G15" s="184" t="s">
        <v>598</v>
      </c>
      <c r="H15" s="168">
        <v>3</v>
      </c>
      <c r="I15" s="323">
        <f>IF('MS 01015'!$H15&lt;&gt;"",'MS 01015'!$D15*'MS 01015'!$F15*'MS 01015'!$H15,'MS 01015'!$D15*'MS 01015'!$F15)</f>
        <v>4.8359999999999994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1</v>
      </c>
      <c r="G16" s="168"/>
      <c r="H16" s="168"/>
      <c r="I16" s="322">
        <f>IF('MS 01015'!$H16&lt;&gt;"",'MS 01015'!$D16*'MS 01015'!$F16*'MS 01015'!$H16,'MS 01015'!$D16*'MS 01015'!$F16)</f>
        <v>0.25</v>
      </c>
    </row>
    <row r="17" spans="1:11" s="178" customFormat="1" x14ac:dyDescent="0.3">
      <c r="H17" s="703" t="s">
        <v>547</v>
      </c>
      <c r="I17" s="702">
        <f>SUM(I14:I16)</f>
        <v>6.3859999999999992</v>
      </c>
    </row>
    <row r="19" spans="1:11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</row>
    <row r="22" spans="1:11" x14ac:dyDescent="0.3">
      <c r="J22" s="178"/>
      <c r="K22" s="178"/>
    </row>
    <row r="28" spans="1:11" s="178" customFormat="1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</row>
    <row r="30" spans="1:11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</row>
    <row r="33" spans="1:11" s="178" customFormat="1" x14ac:dyDescent="0.3">
      <c r="A33" s="161"/>
      <c r="B33" s="161"/>
      <c r="C33" s="161"/>
      <c r="D33" s="161"/>
      <c r="E33" s="161"/>
      <c r="F33" s="161"/>
      <c r="G33" s="161"/>
      <c r="H33" s="161"/>
      <c r="I33" s="161"/>
      <c r="J33" s="161"/>
      <c r="K33" s="161"/>
    </row>
  </sheetData>
  <hyperlinks>
    <hyperlink ref="D2" location="'Firewall lower drawing'!A1" display="FileLink1"/>
  </hyperlinks>
  <pageMargins left="0.5" right="0.5" top="0.75" bottom="0.75" header="0.3" footer="0.3"/>
  <pageSetup paperSize="9" scale="72" fitToHeight="0" orientation="landscape" r:id="rId1"/>
</worksheet>
</file>

<file path=xl/worksheets/sheet2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3333CC"/>
    <pageSetUpPr fitToPage="1"/>
  </sheetPr>
  <dimension ref="A1:V37"/>
  <sheetViews>
    <sheetView showGridLines="0" workbookViewId="0"/>
  </sheetViews>
  <sheetFormatPr defaultColWidth="9.109375" defaultRowHeight="14.4" x14ac:dyDescent="0.3"/>
  <cols>
    <col min="1" max="1" width="13.44140625" style="161" customWidth="1"/>
    <col min="2" max="2" width="25.5546875" style="161" customWidth="1"/>
    <col min="3" max="3" width="28.33203125" style="161" customWidth="1"/>
    <col min="4" max="4" width="13.44140625" style="161" customWidth="1"/>
    <col min="5" max="5" width="11.6640625" style="161" customWidth="1"/>
    <col min="6" max="6" width="9.6640625" style="161" customWidth="1"/>
    <col min="7" max="7" width="10.44140625" style="161" bestFit="1" customWidth="1"/>
    <col min="8" max="8" width="20.109375" style="161" customWidth="1"/>
    <col min="9" max="9" width="12.109375" style="161" bestFit="1" customWidth="1"/>
    <col min="10" max="10" width="13.44140625" style="161" bestFit="1" customWidth="1"/>
    <col min="11" max="11" width="9.44140625" style="161" bestFit="1" customWidth="1"/>
    <col min="12" max="12" width="9.33203125" style="161" bestFit="1" customWidth="1"/>
    <col min="13" max="13" width="16.21875" style="161" customWidth="1"/>
    <col min="14" max="14" width="21.44140625" style="161" customWidth="1"/>
    <col min="15" max="16384" width="9.109375" style="161"/>
  </cols>
  <sheetData>
    <row r="1" spans="1:14" x14ac:dyDescent="0.3">
      <c r="A1" s="693" t="s">
        <v>523</v>
      </c>
      <c r="B1" s="161" t="s">
        <v>524</v>
      </c>
      <c r="J1" s="693" t="s">
        <v>528</v>
      </c>
      <c r="K1" s="163">
        <v>81</v>
      </c>
      <c r="M1" s="693" t="s">
        <v>531</v>
      </c>
      <c r="N1" s="336">
        <f>E10+I22+J28+I32+N14</f>
        <v>58.408116666666665</v>
      </c>
    </row>
    <row r="2" spans="1:14" x14ac:dyDescent="0.3">
      <c r="A2" s="693" t="s">
        <v>532</v>
      </c>
      <c r="B2" s="161" t="s">
        <v>1434</v>
      </c>
      <c r="M2" s="693" t="s">
        <v>533</v>
      </c>
      <c r="N2" s="165">
        <v>1</v>
      </c>
    </row>
    <row r="3" spans="1:14" x14ac:dyDescent="0.3">
      <c r="A3" s="693" t="s">
        <v>534</v>
      </c>
      <c r="B3" s="161" t="s">
        <v>333</v>
      </c>
      <c r="J3" s="693" t="s">
        <v>536</v>
      </c>
    </row>
    <row r="4" spans="1:14" x14ac:dyDescent="0.3">
      <c r="A4" s="693" t="s">
        <v>537</v>
      </c>
      <c r="B4" s="166" t="s">
        <v>332</v>
      </c>
      <c r="J4" s="693" t="s">
        <v>538</v>
      </c>
      <c r="M4" s="693" t="s">
        <v>539</v>
      </c>
      <c r="N4" s="336">
        <f>N1*N2</f>
        <v>58.408116666666665</v>
      </c>
    </row>
    <row r="5" spans="1:14" x14ac:dyDescent="0.3">
      <c r="A5" s="693" t="s">
        <v>540</v>
      </c>
      <c r="B5" s="161" t="s">
        <v>36</v>
      </c>
      <c r="J5" s="693" t="s">
        <v>541</v>
      </c>
    </row>
    <row r="6" spans="1:14" x14ac:dyDescent="0.3">
      <c r="A6" s="693" t="s">
        <v>542</v>
      </c>
      <c r="B6" s="161" t="s">
        <v>2337</v>
      </c>
    </row>
    <row r="8" spans="1:14" x14ac:dyDescent="0.3">
      <c r="A8" s="694" t="s">
        <v>544</v>
      </c>
      <c r="B8" s="694" t="s">
        <v>545</v>
      </c>
      <c r="C8" s="694" t="s">
        <v>546</v>
      </c>
      <c r="D8" s="694" t="s">
        <v>28</v>
      </c>
      <c r="E8" s="694" t="s">
        <v>547</v>
      </c>
    </row>
    <row r="9" spans="1:14" x14ac:dyDescent="0.3">
      <c r="A9" s="168">
        <v>10</v>
      </c>
      <c r="B9" s="168" t="s">
        <v>335</v>
      </c>
      <c r="C9" s="323">
        <f>'MS 02001'!N1</f>
        <v>1.7839750000000001</v>
      </c>
      <c r="D9" s="168">
        <v>2</v>
      </c>
      <c r="E9" s="322">
        <f>C9*D9</f>
        <v>3.5679500000000002</v>
      </c>
    </row>
    <row r="10" spans="1:14" x14ac:dyDescent="0.3">
      <c r="D10" s="695" t="s">
        <v>547</v>
      </c>
      <c r="E10" s="708">
        <f>SUM(E9:E9)</f>
        <v>3.5679500000000002</v>
      </c>
    </row>
    <row r="12" spans="1:14" s="178" customFormat="1" x14ac:dyDescent="0.3">
      <c r="A12" s="694" t="s">
        <v>544</v>
      </c>
      <c r="B12" s="694" t="s">
        <v>581</v>
      </c>
      <c r="C12" s="694" t="s">
        <v>549</v>
      </c>
      <c r="D12" s="694" t="s">
        <v>550</v>
      </c>
      <c r="E12" s="694" t="s">
        <v>567</v>
      </c>
      <c r="F12" s="694" t="s">
        <v>568</v>
      </c>
      <c r="G12" s="694" t="s">
        <v>569</v>
      </c>
      <c r="H12" s="694" t="s">
        <v>570</v>
      </c>
      <c r="I12" s="694" t="s">
        <v>582</v>
      </c>
      <c r="J12" s="694" t="s">
        <v>583</v>
      </c>
      <c r="K12" s="694" t="s">
        <v>584</v>
      </c>
      <c r="L12" s="694" t="s">
        <v>585</v>
      </c>
      <c r="M12" s="694" t="s">
        <v>28</v>
      </c>
      <c r="N12" s="694" t="s">
        <v>547</v>
      </c>
    </row>
    <row r="13" spans="1:14" x14ac:dyDescent="0.3">
      <c r="A13" s="168">
        <v>10</v>
      </c>
      <c r="B13" s="225" t="s">
        <v>2338</v>
      </c>
      <c r="C13" s="168" t="s">
        <v>2339</v>
      </c>
      <c r="D13" s="709">
        <v>45</v>
      </c>
      <c r="E13" s="168"/>
      <c r="F13" s="168"/>
      <c r="G13" s="168"/>
      <c r="H13" s="219"/>
      <c r="I13" s="220"/>
      <c r="J13" s="221"/>
      <c r="K13" s="219"/>
      <c r="L13" s="219"/>
      <c r="M13" s="168">
        <v>1</v>
      </c>
      <c r="N13" s="322">
        <f>M13*D13</f>
        <v>45</v>
      </c>
    </row>
    <row r="14" spans="1:14" s="178" customFormat="1" x14ac:dyDescent="0.3">
      <c r="M14" s="695" t="s">
        <v>547</v>
      </c>
      <c r="N14" s="708">
        <f>SUM(N13:N13)</f>
        <v>45</v>
      </c>
    </row>
    <row r="16" spans="1:14" s="178" customFormat="1" x14ac:dyDescent="0.3">
      <c r="A16" s="694" t="s">
        <v>544</v>
      </c>
      <c r="B16" s="694" t="s">
        <v>548</v>
      </c>
      <c r="C16" s="694" t="s">
        <v>549</v>
      </c>
      <c r="D16" s="694" t="s">
        <v>550</v>
      </c>
      <c r="E16" s="694" t="s">
        <v>551</v>
      </c>
      <c r="F16" s="694" t="s">
        <v>28</v>
      </c>
      <c r="G16" s="694" t="s">
        <v>552</v>
      </c>
      <c r="H16" s="694" t="s">
        <v>553</v>
      </c>
      <c r="I16" s="694" t="s">
        <v>547</v>
      </c>
    </row>
    <row r="17" spans="1:22" x14ac:dyDescent="0.3">
      <c r="A17" s="168">
        <v>10</v>
      </c>
      <c r="B17" s="315" t="s">
        <v>650</v>
      </c>
      <c r="C17" s="171" t="s">
        <v>2340</v>
      </c>
      <c r="D17" s="323">
        <v>0.15</v>
      </c>
      <c r="E17" s="168" t="s">
        <v>593</v>
      </c>
      <c r="F17" s="168">
        <v>6</v>
      </c>
      <c r="G17" s="168"/>
      <c r="H17" s="168">
        <v>1</v>
      </c>
      <c r="I17" s="323">
        <f>F17*D17</f>
        <v>0.89999999999999991</v>
      </c>
    </row>
    <row r="18" spans="1:22" x14ac:dyDescent="0.3">
      <c r="A18" s="168">
        <v>20</v>
      </c>
      <c r="B18" s="179" t="s">
        <v>1004</v>
      </c>
      <c r="C18" s="171" t="s">
        <v>2341</v>
      </c>
      <c r="D18" s="323">
        <v>0.06</v>
      </c>
      <c r="E18" s="168"/>
      <c r="F18" s="168">
        <v>2</v>
      </c>
      <c r="G18" s="168"/>
      <c r="H18" s="168">
        <v>1</v>
      </c>
      <c r="I18" s="323">
        <f>D18*F18*H18</f>
        <v>0.12</v>
      </c>
    </row>
    <row r="19" spans="1:22" x14ac:dyDescent="0.3">
      <c r="A19" s="168">
        <v>30</v>
      </c>
      <c r="B19" s="315" t="s">
        <v>674</v>
      </c>
      <c r="C19" s="179" t="s">
        <v>2342</v>
      </c>
      <c r="D19" s="403">
        <v>1.5</v>
      </c>
      <c r="E19" s="168"/>
      <c r="F19" s="168">
        <v>2</v>
      </c>
      <c r="G19" s="168"/>
      <c r="H19" s="168">
        <v>1</v>
      </c>
      <c r="I19" s="323">
        <v>3</v>
      </c>
      <c r="L19" s="178"/>
      <c r="M19" s="178"/>
      <c r="N19" s="178"/>
      <c r="O19" s="178"/>
      <c r="P19" s="178"/>
      <c r="Q19" s="178"/>
      <c r="R19" s="178"/>
      <c r="S19" s="178"/>
      <c r="T19" s="178"/>
      <c r="U19" s="178"/>
      <c r="V19" s="178"/>
    </row>
    <row r="20" spans="1:22" x14ac:dyDescent="0.3">
      <c r="A20" s="168">
        <v>40</v>
      </c>
      <c r="B20" s="179" t="s">
        <v>2343</v>
      </c>
      <c r="C20" s="179" t="s">
        <v>2342</v>
      </c>
      <c r="D20" s="323">
        <v>0.25</v>
      </c>
      <c r="E20" s="168"/>
      <c r="F20" s="168">
        <v>2</v>
      </c>
      <c r="G20" s="168"/>
      <c r="H20" s="168">
        <v>1</v>
      </c>
      <c r="I20" s="323">
        <v>1.5</v>
      </c>
    </row>
    <row r="21" spans="1:22" x14ac:dyDescent="0.3">
      <c r="A21" s="168">
        <v>50</v>
      </c>
      <c r="B21" s="180" t="s">
        <v>2344</v>
      </c>
      <c r="C21" s="171" t="s">
        <v>2345</v>
      </c>
      <c r="D21" s="243">
        <v>0.1875</v>
      </c>
      <c r="E21" s="168"/>
      <c r="F21" s="168">
        <v>1</v>
      </c>
      <c r="G21" s="168"/>
      <c r="H21" s="168">
        <v>1</v>
      </c>
      <c r="I21" s="323">
        <f>D21*F21*H21</f>
        <v>0.1875</v>
      </c>
    </row>
    <row r="22" spans="1:22" s="178" customFormat="1" x14ac:dyDescent="0.3">
      <c r="H22" s="695" t="s">
        <v>547</v>
      </c>
      <c r="I22" s="708">
        <f>SUM(I17:I21)</f>
        <v>5.7074999999999996</v>
      </c>
    </row>
    <row r="24" spans="1:22" s="178" customFormat="1" x14ac:dyDescent="0.3">
      <c r="A24" s="694" t="s">
        <v>544</v>
      </c>
      <c r="B24" s="694" t="s">
        <v>566</v>
      </c>
      <c r="C24" s="694" t="s">
        <v>549</v>
      </c>
      <c r="D24" s="694" t="s">
        <v>550</v>
      </c>
      <c r="E24" s="694" t="s">
        <v>567</v>
      </c>
      <c r="F24" s="694" t="s">
        <v>568</v>
      </c>
      <c r="G24" s="694" t="s">
        <v>569</v>
      </c>
      <c r="H24" s="694" t="s">
        <v>570</v>
      </c>
      <c r="I24" s="694" t="s">
        <v>28</v>
      </c>
      <c r="J24" s="694" t="s">
        <v>547</v>
      </c>
      <c r="L24" s="161"/>
      <c r="M24" s="161"/>
      <c r="N24" s="161"/>
      <c r="O24" s="161"/>
      <c r="P24" s="161"/>
      <c r="Q24" s="161"/>
      <c r="R24" s="161"/>
      <c r="S24" s="161"/>
      <c r="T24" s="161"/>
      <c r="U24" s="161"/>
      <c r="V24" s="161"/>
    </row>
    <row r="25" spans="1:22" x14ac:dyDescent="0.3">
      <c r="A25" s="168">
        <v>10</v>
      </c>
      <c r="B25" s="168" t="s">
        <v>2346</v>
      </c>
      <c r="C25" s="168" t="s">
        <v>2347</v>
      </c>
      <c r="D25" s="323">
        <v>1.59</v>
      </c>
      <c r="E25" s="168"/>
      <c r="F25" s="245"/>
      <c r="G25" s="168"/>
      <c r="H25" s="171"/>
      <c r="I25" s="327">
        <v>2</v>
      </c>
      <c r="J25" s="323">
        <f>D25*I25</f>
        <v>3.18</v>
      </c>
      <c r="L25" s="178"/>
      <c r="M25" s="178"/>
      <c r="N25" s="178"/>
      <c r="O25" s="178"/>
      <c r="P25" s="178"/>
      <c r="Q25" s="178"/>
      <c r="R25" s="178"/>
      <c r="S25" s="178"/>
      <c r="T25" s="178"/>
      <c r="U25" s="178"/>
      <c r="V25" s="178"/>
    </row>
    <row r="26" spans="1:22" x14ac:dyDescent="0.3">
      <c r="A26" s="168">
        <v>20</v>
      </c>
      <c r="B26" s="356" t="s">
        <v>618</v>
      </c>
      <c r="C26" s="168" t="s">
        <v>2347</v>
      </c>
      <c r="D26" s="323">
        <v>0.1</v>
      </c>
      <c r="E26" s="168"/>
      <c r="F26" s="245"/>
      <c r="G26" s="168"/>
      <c r="H26" s="171"/>
      <c r="I26" s="327">
        <v>2</v>
      </c>
      <c r="J26" s="323">
        <f>D26*I26</f>
        <v>0.2</v>
      </c>
    </row>
    <row r="27" spans="1:22" x14ac:dyDescent="0.3">
      <c r="A27" s="168">
        <v>30</v>
      </c>
      <c r="B27" s="356" t="s">
        <v>2348</v>
      </c>
      <c r="C27" s="168" t="s">
        <v>2347</v>
      </c>
      <c r="D27" s="323">
        <v>4.2999999999999997E-2</v>
      </c>
      <c r="E27" s="168"/>
      <c r="F27" s="245"/>
      <c r="G27" s="168"/>
      <c r="H27" s="171"/>
      <c r="I27" s="327">
        <v>2</v>
      </c>
      <c r="J27" s="323">
        <f>D27*I27</f>
        <v>8.5999999999999993E-2</v>
      </c>
    </row>
    <row r="28" spans="1:22" s="178" customFormat="1" x14ac:dyDescent="0.3">
      <c r="I28" s="695" t="s">
        <v>547</v>
      </c>
      <c r="J28" s="708">
        <f>SUM(J25:J27)</f>
        <v>3.4660000000000002</v>
      </c>
    </row>
    <row r="29" spans="1:22" x14ac:dyDescent="0.3">
      <c r="H29" s="326"/>
      <c r="I29" s="325"/>
    </row>
    <row r="30" spans="1:22" s="178" customFormat="1" x14ac:dyDescent="0.3">
      <c r="A30" s="694" t="s">
        <v>544</v>
      </c>
      <c r="B30" s="694" t="s">
        <v>6</v>
      </c>
      <c r="C30" s="694" t="s">
        <v>549</v>
      </c>
      <c r="D30" s="694" t="s">
        <v>550</v>
      </c>
      <c r="E30" s="694" t="s">
        <v>551</v>
      </c>
      <c r="F30" s="694" t="s">
        <v>28</v>
      </c>
      <c r="G30" s="694" t="s">
        <v>691</v>
      </c>
      <c r="H30" s="694" t="s">
        <v>736</v>
      </c>
      <c r="I30" s="694" t="s">
        <v>547</v>
      </c>
      <c r="L30" s="161"/>
      <c r="M30" s="161"/>
      <c r="N30" s="161"/>
      <c r="O30" s="161"/>
      <c r="P30" s="161"/>
      <c r="Q30" s="161"/>
      <c r="R30" s="161"/>
      <c r="S30" s="161"/>
      <c r="T30" s="161"/>
      <c r="U30" s="161"/>
      <c r="V30" s="161"/>
    </row>
    <row r="31" spans="1:22" x14ac:dyDescent="0.3">
      <c r="A31" s="168">
        <v>10</v>
      </c>
      <c r="B31" s="179" t="s">
        <v>693</v>
      </c>
      <c r="C31" s="168" t="s">
        <v>335</v>
      </c>
      <c r="D31" s="323">
        <v>500</v>
      </c>
      <c r="E31" s="168" t="s">
        <v>695</v>
      </c>
      <c r="F31" s="168">
        <v>4</v>
      </c>
      <c r="G31" s="168">
        <v>3000</v>
      </c>
      <c r="H31" s="168">
        <v>1</v>
      </c>
      <c r="I31" s="322">
        <f>F31*D31/G31</f>
        <v>0.66666666666666663</v>
      </c>
      <c r="L31" s="178"/>
      <c r="M31" s="178"/>
      <c r="N31" s="178"/>
      <c r="O31" s="178"/>
      <c r="P31" s="178"/>
      <c r="Q31" s="178"/>
      <c r="R31" s="178"/>
      <c r="S31" s="178"/>
      <c r="T31" s="178"/>
      <c r="U31" s="178"/>
      <c r="V31" s="178"/>
    </row>
    <row r="32" spans="1:22" s="178" customFormat="1" x14ac:dyDescent="0.3">
      <c r="H32" s="695" t="s">
        <v>547</v>
      </c>
      <c r="I32" s="708">
        <f>SUM(I31:I31)</f>
        <v>0.66666666666666663</v>
      </c>
      <c r="L32" s="161"/>
      <c r="M32" s="161"/>
      <c r="N32" s="161"/>
      <c r="O32" s="161"/>
      <c r="P32" s="161"/>
      <c r="Q32" s="161"/>
      <c r="R32" s="161"/>
      <c r="S32" s="161"/>
      <c r="T32" s="161"/>
      <c r="U32" s="161"/>
      <c r="V32" s="161"/>
    </row>
    <row r="34" spans="12:22" x14ac:dyDescent="0.3">
      <c r="L34" s="178"/>
      <c r="M34" s="178"/>
      <c r="N34" s="178"/>
      <c r="O34" s="178"/>
      <c r="P34" s="178"/>
      <c r="Q34" s="178"/>
      <c r="R34" s="178"/>
      <c r="S34" s="178"/>
      <c r="T34" s="178"/>
      <c r="U34" s="178"/>
      <c r="V34" s="178"/>
    </row>
    <row r="37" spans="12:22" x14ac:dyDescent="0.3">
      <c r="L37" s="178"/>
      <c r="M37" s="178"/>
      <c r="N37" s="178"/>
      <c r="O37" s="178"/>
      <c r="P37" s="178"/>
      <c r="Q37" s="178"/>
      <c r="R37" s="178"/>
      <c r="S37" s="178"/>
      <c r="T37" s="178"/>
      <c r="U37" s="178"/>
      <c r="V37" s="178"/>
    </row>
  </sheetData>
  <pageMargins left="0.5" right="0.5" top="0.75" bottom="0.75" header="0.3" footer="0.3"/>
  <pageSetup scale="59" orientation="landscape" r:id="rId1"/>
</worksheet>
</file>

<file path=xl/worksheets/sheet2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208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3.109375" style="161" bestFit="1" customWidth="1"/>
    <col min="3" max="3" width="23.109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4.109375" style="161" customWidth="1"/>
    <col min="8" max="8" width="13.88671875" style="161" bestFit="1" customWidth="1"/>
    <col min="9" max="9" width="17.5546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2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N11+I16</f>
        <v>1.7839750000000001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2</v>
      </c>
    </row>
    <row r="3" spans="1:14" x14ac:dyDescent="0.3">
      <c r="A3" s="698" t="s">
        <v>534</v>
      </c>
      <c r="B3" s="161" t="s">
        <v>333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335</v>
      </c>
      <c r="D4" s="698" t="s">
        <v>541</v>
      </c>
      <c r="J4" s="698" t="s">
        <v>538</v>
      </c>
      <c r="M4" s="698" t="s">
        <v>539</v>
      </c>
      <c r="N4" s="336">
        <f>N1*N2</f>
        <v>3.5679500000000002</v>
      </c>
    </row>
    <row r="5" spans="1:14" x14ac:dyDescent="0.3">
      <c r="A5" s="698" t="s">
        <v>537</v>
      </c>
      <c r="B5" s="199" t="s">
        <v>334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  <c r="B7" s="161" t="s">
        <v>2349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35.25" customHeight="1" x14ac:dyDescent="0.3">
      <c r="A10" s="168">
        <v>10</v>
      </c>
      <c r="B10" s="168" t="s">
        <v>606</v>
      </c>
      <c r="C10" s="168" t="s">
        <v>1891</v>
      </c>
      <c r="D10" s="302">
        <v>2.25</v>
      </c>
      <c r="E10" s="168">
        <v>2.5000000000000001E-2</v>
      </c>
      <c r="F10" s="168" t="s">
        <v>644</v>
      </c>
      <c r="G10" s="168">
        <v>0.03</v>
      </c>
      <c r="H10" s="219" t="s">
        <v>644</v>
      </c>
      <c r="I10" s="269" t="s">
        <v>2350</v>
      </c>
      <c r="J10" s="227">
        <f>G10*E10</f>
        <v>7.5000000000000002E-4</v>
      </c>
      <c r="K10" s="219">
        <v>6.0000000000000001E-3</v>
      </c>
      <c r="L10" s="219">
        <v>7800</v>
      </c>
      <c r="M10" s="227">
        <f>K10*J10</f>
        <v>4.5000000000000001E-6</v>
      </c>
      <c r="N10" s="322">
        <f>L10*M10*D10</f>
        <v>7.8975000000000004E-2</v>
      </c>
    </row>
    <row r="11" spans="1:14" s="178" customFormat="1" x14ac:dyDescent="0.3">
      <c r="M11" s="701" t="s">
        <v>547</v>
      </c>
      <c r="N11" s="704">
        <f>SUM(N10:N10)</f>
        <v>7.8975000000000004E-2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ht="28.8" x14ac:dyDescent="0.3">
      <c r="A14" s="168">
        <v>10</v>
      </c>
      <c r="B14" s="180" t="s">
        <v>589</v>
      </c>
      <c r="C14" s="184" t="s">
        <v>699</v>
      </c>
      <c r="D14" s="323">
        <v>1.3</v>
      </c>
      <c r="E14" s="168" t="s">
        <v>556</v>
      </c>
      <c r="F14" s="168">
        <v>1</v>
      </c>
      <c r="G14" s="184" t="s">
        <v>1508</v>
      </c>
      <c r="H14" s="168">
        <v>0.5</v>
      </c>
      <c r="I14" s="323">
        <f>D14</f>
        <v>1.3</v>
      </c>
    </row>
    <row r="15" spans="1:14" x14ac:dyDescent="0.3">
      <c r="A15" s="168">
        <v>20</v>
      </c>
      <c r="B15" s="171" t="s">
        <v>700</v>
      </c>
      <c r="C15" s="171" t="s">
        <v>2351</v>
      </c>
      <c r="D15" s="323">
        <v>0.01</v>
      </c>
      <c r="E15" s="168" t="s">
        <v>593</v>
      </c>
      <c r="F15" s="168">
        <v>13.5</v>
      </c>
      <c r="G15" s="184" t="s">
        <v>598</v>
      </c>
      <c r="H15" s="168">
        <v>3</v>
      </c>
      <c r="I15" s="323">
        <f>D15*F15*H15</f>
        <v>0.40500000000000003</v>
      </c>
    </row>
    <row r="16" spans="1:14" s="178" customFormat="1" x14ac:dyDescent="0.3">
      <c r="H16" s="701" t="s">
        <v>547</v>
      </c>
      <c r="I16" s="704">
        <f>SUM(I14:I15)</f>
        <v>1.7050000000000001</v>
      </c>
    </row>
    <row r="18" spans="3:9" x14ac:dyDescent="0.3">
      <c r="H18" s="326"/>
      <c r="I18" s="325"/>
    </row>
    <row r="19" spans="3:9" x14ac:dyDescent="0.3">
      <c r="C19" s="352"/>
    </row>
    <row r="71" spans="1:8" x14ac:dyDescent="0.3">
      <c r="A71" s="161" t="e">
        <f>#REF!</f>
        <v>#REF!</v>
      </c>
      <c r="B71" s="161" t="e">
        <f>#REF!</f>
        <v>#REF!</v>
      </c>
      <c r="C71" s="161" t="e">
        <f>#REF!</f>
        <v>#REF!</v>
      </c>
      <c r="D71" s="161" t="e">
        <f>#REF!</f>
        <v>#REF!</v>
      </c>
      <c r="E71" s="161" t="e">
        <f>#REF!</f>
        <v>#REF!</v>
      </c>
      <c r="F71" s="161" t="e">
        <f>#REF!</f>
        <v>#REF!</v>
      </c>
      <c r="G71" s="161" t="e">
        <f>#REF!</f>
        <v>#REF!</v>
      </c>
      <c r="H71" s="161" t="e">
        <f>#REF!</f>
        <v>#REF!</v>
      </c>
    </row>
    <row r="72" spans="1:8" x14ac:dyDescent="0.3">
      <c r="A72" s="161" t="e">
        <f>#REF!</f>
        <v>#REF!</v>
      </c>
      <c r="B72" s="161" t="e">
        <f>#REF!</f>
        <v>#REF!</v>
      </c>
      <c r="C72" s="161" t="e">
        <f>#REF!</f>
        <v>#REF!</v>
      </c>
      <c r="D72" s="161" t="e">
        <f>#REF!</f>
        <v>#REF!</v>
      </c>
      <c r="E72" s="161" t="e">
        <f>#REF!</f>
        <v>#REF!</v>
      </c>
      <c r="F72" s="161" t="e">
        <f>#REF!</f>
        <v>#REF!</v>
      </c>
      <c r="G72" s="161" t="e">
        <f>#REF!</f>
        <v>#REF!</v>
      </c>
      <c r="H72" s="161" t="e">
        <f>#REF!</f>
        <v>#REF!</v>
      </c>
    </row>
    <row r="73" spans="1:8" x14ac:dyDescent="0.3">
      <c r="A73" s="161" t="e">
        <f>#REF!</f>
        <v>#REF!</v>
      </c>
      <c r="B73" s="161" t="e">
        <f>#REF!</f>
        <v>#REF!</v>
      </c>
      <c r="C73" s="161" t="e">
        <f>#REF!</f>
        <v>#REF!</v>
      </c>
      <c r="D73" s="161" t="e">
        <f>#REF!</f>
        <v>#REF!</v>
      </c>
      <c r="E73" s="161" t="e">
        <f>#REF!</f>
        <v>#REF!</v>
      </c>
      <c r="F73" s="161" t="e">
        <f>#REF!</f>
        <v>#REF!</v>
      </c>
      <c r="G73" s="161" t="e">
        <f>#REF!</f>
        <v>#REF!</v>
      </c>
      <c r="H73" s="161" t="e">
        <f>#REF!</f>
        <v>#REF!</v>
      </c>
    </row>
    <row r="74" spans="1:8" x14ac:dyDescent="0.3">
      <c r="A74" s="161" t="e">
        <f>#REF!</f>
        <v>#REF!</v>
      </c>
      <c r="B74" s="161" t="e">
        <f>#REF!</f>
        <v>#REF!</v>
      </c>
      <c r="C74" s="161" t="e">
        <f>#REF!</f>
        <v>#REF!</v>
      </c>
      <c r="D74" s="161" t="e">
        <f>#REF!</f>
        <v>#REF!</v>
      </c>
      <c r="E74" s="161" t="e">
        <f>#REF!</f>
        <v>#REF!</v>
      </c>
      <c r="F74" s="161" t="e">
        <f>#REF!</f>
        <v>#REF!</v>
      </c>
      <c r="G74" s="161" t="e">
        <f>#REF!</f>
        <v>#REF!</v>
      </c>
      <c r="H74" s="161" t="e">
        <f>#REF!</f>
        <v>#REF!</v>
      </c>
    </row>
    <row r="75" spans="1:8" x14ac:dyDescent="0.3">
      <c r="A75" s="161" t="e">
        <f>#REF!</f>
        <v>#REF!</v>
      </c>
      <c r="B75" s="161" t="e">
        <f>#REF!</f>
        <v>#REF!</v>
      </c>
      <c r="C75" s="161" t="e">
        <f>#REF!</f>
        <v>#REF!</v>
      </c>
      <c r="D75" s="161" t="e">
        <f>#REF!</f>
        <v>#REF!</v>
      </c>
      <c r="E75" s="161" t="e">
        <f>#REF!</f>
        <v>#REF!</v>
      </c>
      <c r="F75" s="161" t="e">
        <f>#REF!</f>
        <v>#REF!</v>
      </c>
      <c r="G75" s="161" t="e">
        <f>#REF!</f>
        <v>#REF!</v>
      </c>
      <c r="H75" s="161" t="e">
        <f>#REF!</f>
        <v>#REF!</v>
      </c>
    </row>
    <row r="76" spans="1:8" x14ac:dyDescent="0.3">
      <c r="A76" s="161" t="e">
        <f>#REF!</f>
        <v>#REF!</v>
      </c>
      <c r="B76" s="161" t="e">
        <f>#REF!</f>
        <v>#REF!</v>
      </c>
      <c r="C76" s="161" t="e">
        <f>#REF!</f>
        <v>#REF!</v>
      </c>
      <c r="D76" s="161" t="e">
        <f>#REF!</f>
        <v>#REF!</v>
      </c>
      <c r="E76" s="161" t="e">
        <f>#REF!</f>
        <v>#REF!</v>
      </c>
      <c r="F76" s="161" t="e">
        <f>#REF!</f>
        <v>#REF!</v>
      </c>
      <c r="G76" s="161" t="e">
        <f>#REF!</f>
        <v>#REF!</v>
      </c>
      <c r="H76" s="161" t="e">
        <f>#REF!</f>
        <v>#REF!</v>
      </c>
    </row>
    <row r="77" spans="1:8" x14ac:dyDescent="0.3">
      <c r="A77" s="161" t="e">
        <f>#REF!</f>
        <v>#REF!</v>
      </c>
      <c r="B77" s="161" t="e">
        <f>#REF!</f>
        <v>#REF!</v>
      </c>
      <c r="C77" s="161" t="e">
        <f>#REF!</f>
        <v>#REF!</v>
      </c>
      <c r="D77" s="161" t="e">
        <f>#REF!</f>
        <v>#REF!</v>
      </c>
      <c r="E77" s="161" t="e">
        <f>#REF!</f>
        <v>#REF!</v>
      </c>
      <c r="F77" s="161" t="e">
        <f>#REF!</f>
        <v>#REF!</v>
      </c>
      <c r="G77" s="161" t="e">
        <f>#REF!</f>
        <v>#REF!</v>
      </c>
      <c r="H77" s="161" t="e">
        <f>#REF!</f>
        <v>#REF!</v>
      </c>
    </row>
    <row r="78" spans="1:8" x14ac:dyDescent="0.3">
      <c r="A78" s="161" t="e">
        <f>#REF!</f>
        <v>#REF!</v>
      </c>
      <c r="B78" s="161" t="e">
        <f>#REF!</f>
        <v>#REF!</v>
      </c>
      <c r="C78" s="161" t="e">
        <f>#REF!</f>
        <v>#REF!</v>
      </c>
      <c r="D78" s="161" t="e">
        <f>#REF!</f>
        <v>#REF!</v>
      </c>
      <c r="E78" s="161" t="e">
        <f>#REF!</f>
        <v>#REF!</v>
      </c>
      <c r="F78" s="161" t="e">
        <f>#REF!</f>
        <v>#REF!</v>
      </c>
      <c r="G78" s="161" t="e">
        <f>#REF!</f>
        <v>#REF!</v>
      </c>
      <c r="H78" s="161" t="e">
        <f>#REF!</f>
        <v>#REF!</v>
      </c>
    </row>
    <row r="79" spans="1:8" x14ac:dyDescent="0.3">
      <c r="A79" s="161" t="e">
        <f>#REF!</f>
        <v>#REF!</v>
      </c>
      <c r="B79" s="161" t="e">
        <f>#REF!</f>
        <v>#REF!</v>
      </c>
      <c r="C79" s="161" t="e">
        <f>#REF!</f>
        <v>#REF!</v>
      </c>
      <c r="D79" s="161" t="e">
        <f>#REF!</f>
        <v>#REF!</v>
      </c>
      <c r="E79" s="161" t="e">
        <f>#REF!</f>
        <v>#REF!</v>
      </c>
      <c r="F79" s="161" t="e">
        <f>#REF!</f>
        <v>#REF!</v>
      </c>
      <c r="G79" s="161" t="e">
        <f>#REF!</f>
        <v>#REF!</v>
      </c>
      <c r="H79" s="161" t="e">
        <f>#REF!</f>
        <v>#REF!</v>
      </c>
    </row>
    <row r="80" spans="1:8" x14ac:dyDescent="0.3">
      <c r="A80" s="161" t="e">
        <f>#REF!</f>
        <v>#REF!</v>
      </c>
      <c r="B80" s="161" t="e">
        <f>#REF!</f>
        <v>#REF!</v>
      </c>
      <c r="C80" s="161" t="e">
        <f>#REF!</f>
        <v>#REF!</v>
      </c>
      <c r="D80" s="161" t="e">
        <f>#REF!</f>
        <v>#REF!</v>
      </c>
      <c r="E80" s="161" t="e">
        <f>#REF!</f>
        <v>#REF!</v>
      </c>
      <c r="F80" s="161" t="e">
        <f>#REF!</f>
        <v>#REF!</v>
      </c>
      <c r="G80" s="161" t="e">
        <f>#REF!</f>
        <v>#REF!</v>
      </c>
      <c r="H80" s="161" t="e">
        <f>#REF!</f>
        <v>#REF!</v>
      </c>
    </row>
    <row r="81" spans="1:8" x14ac:dyDescent="0.3">
      <c r="A81" s="161" t="e">
        <f>#REF!</f>
        <v>#REF!</v>
      </c>
      <c r="B81" s="161" t="e">
        <f>#REF!</f>
        <v>#REF!</v>
      </c>
      <c r="C81" s="161" t="e">
        <f>#REF!</f>
        <v>#REF!</v>
      </c>
      <c r="D81" s="161" t="e">
        <f>#REF!</f>
        <v>#REF!</v>
      </c>
      <c r="E81" s="161" t="e">
        <f>#REF!</f>
        <v>#REF!</v>
      </c>
      <c r="F81" s="161" t="e">
        <f>#REF!</f>
        <v>#REF!</v>
      </c>
      <c r="G81" s="161" t="e">
        <f>#REF!</f>
        <v>#REF!</v>
      </c>
      <c r="H81" s="161" t="e">
        <f>#REF!</f>
        <v>#REF!</v>
      </c>
    </row>
    <row r="82" spans="1:8" x14ac:dyDescent="0.3">
      <c r="A82" s="161" t="e">
        <f>#REF!</f>
        <v>#REF!</v>
      </c>
      <c r="B82" s="161" t="e">
        <f>#REF!</f>
        <v>#REF!</v>
      </c>
      <c r="C82" s="161" t="e">
        <f>#REF!</f>
        <v>#REF!</v>
      </c>
      <c r="D82" s="161" t="e">
        <f>#REF!</f>
        <v>#REF!</v>
      </c>
      <c r="E82" s="161" t="e">
        <f>#REF!</f>
        <v>#REF!</v>
      </c>
      <c r="F82" s="161" t="e">
        <f>#REF!</f>
        <v>#REF!</v>
      </c>
      <c r="G82" s="161" t="e">
        <f>#REF!</f>
        <v>#REF!</v>
      </c>
      <c r="H82" s="161" t="e">
        <f>#REF!</f>
        <v>#REF!</v>
      </c>
    </row>
    <row r="83" spans="1:8" x14ac:dyDescent="0.3">
      <c r="A83" s="161" t="e">
        <f>#REF!</f>
        <v>#REF!</v>
      </c>
      <c r="B83" s="161" t="e">
        <f>#REF!</f>
        <v>#REF!</v>
      </c>
      <c r="C83" s="161" t="e">
        <f>#REF!</f>
        <v>#REF!</v>
      </c>
      <c r="D83" s="161" t="e">
        <f>#REF!</f>
        <v>#REF!</v>
      </c>
      <c r="E83" s="161" t="e">
        <f>#REF!</f>
        <v>#REF!</v>
      </c>
      <c r="F83" s="161" t="e">
        <f>#REF!</f>
        <v>#REF!</v>
      </c>
      <c r="G83" s="161" t="e">
        <f>#REF!</f>
        <v>#REF!</v>
      </c>
      <c r="H83" s="161" t="e">
        <f>#REF!</f>
        <v>#REF!</v>
      </c>
    </row>
    <row r="84" spans="1:8" x14ac:dyDescent="0.3">
      <c r="A84" s="161" t="e">
        <f>#REF!</f>
        <v>#REF!</v>
      </c>
      <c r="B84" s="161" t="e">
        <f>#REF!</f>
        <v>#REF!</v>
      </c>
      <c r="C84" s="161" t="e">
        <f>#REF!</f>
        <v>#REF!</v>
      </c>
      <c r="D84" s="161" t="e">
        <f>#REF!</f>
        <v>#REF!</v>
      </c>
      <c r="E84" s="161" t="e">
        <f>#REF!</f>
        <v>#REF!</v>
      </c>
      <c r="F84" s="161" t="e">
        <f>#REF!</f>
        <v>#REF!</v>
      </c>
      <c r="G84" s="161" t="e">
        <f>#REF!</f>
        <v>#REF!</v>
      </c>
      <c r="H84" s="161" t="e">
        <f>#REF!</f>
        <v>#REF!</v>
      </c>
    </row>
    <row r="85" spans="1:8" x14ac:dyDescent="0.3">
      <c r="A85" s="161" t="e">
        <f>#REF!</f>
        <v>#REF!</v>
      </c>
      <c r="B85" s="161" t="e">
        <f>#REF!</f>
        <v>#REF!</v>
      </c>
      <c r="C85" s="161" t="e">
        <f>#REF!</f>
        <v>#REF!</v>
      </c>
      <c r="D85" s="161" t="e">
        <f>#REF!</f>
        <v>#REF!</v>
      </c>
      <c r="E85" s="161" t="e">
        <f>#REF!</f>
        <v>#REF!</v>
      </c>
      <c r="F85" s="161" t="e">
        <f>#REF!</f>
        <v>#REF!</v>
      </c>
      <c r="G85" s="161" t="e">
        <f>#REF!</f>
        <v>#REF!</v>
      </c>
      <c r="H85" s="161" t="e">
        <f>#REF!</f>
        <v>#REF!</v>
      </c>
    </row>
    <row r="86" spans="1:8" x14ac:dyDescent="0.3">
      <c r="A86" s="161" t="e">
        <f>#REF!</f>
        <v>#REF!</v>
      </c>
      <c r="B86" s="161" t="e">
        <f>#REF!</f>
        <v>#REF!</v>
      </c>
      <c r="C86" s="161" t="e">
        <f>#REF!</f>
        <v>#REF!</v>
      </c>
      <c r="D86" s="161" t="e">
        <f>#REF!</f>
        <v>#REF!</v>
      </c>
      <c r="E86" s="161" t="e">
        <f>#REF!</f>
        <v>#REF!</v>
      </c>
      <c r="F86" s="161" t="e">
        <f>#REF!</f>
        <v>#REF!</v>
      </c>
      <c r="G86" s="161" t="e">
        <f>#REF!</f>
        <v>#REF!</v>
      </c>
      <c r="H86" s="161" t="e">
        <f>#REF!</f>
        <v>#REF!</v>
      </c>
    </row>
    <row r="87" spans="1:8" x14ac:dyDescent="0.3">
      <c r="A87" s="161" t="e">
        <f>#REF!</f>
        <v>#REF!</v>
      </c>
      <c r="B87" s="161" t="e">
        <f>#REF!</f>
        <v>#REF!</v>
      </c>
      <c r="C87" s="161" t="e">
        <f>#REF!</f>
        <v>#REF!</v>
      </c>
      <c r="D87" s="161" t="e">
        <f>#REF!</f>
        <v>#REF!</v>
      </c>
      <c r="E87" s="161" t="e">
        <f>#REF!</f>
        <v>#REF!</v>
      </c>
      <c r="F87" s="161" t="e">
        <f>#REF!</f>
        <v>#REF!</v>
      </c>
      <c r="G87" s="161" t="e">
        <f>#REF!</f>
        <v>#REF!</v>
      </c>
      <c r="H87" s="161" t="e">
        <f>#REF!</f>
        <v>#REF!</v>
      </c>
    </row>
    <row r="88" spans="1:8" x14ac:dyDescent="0.3">
      <c r="A88" s="161" t="e">
        <f>#REF!</f>
        <v>#REF!</v>
      </c>
      <c r="B88" s="161" t="e">
        <f>#REF!</f>
        <v>#REF!</v>
      </c>
      <c r="C88" s="161" t="e">
        <f>#REF!</f>
        <v>#REF!</v>
      </c>
      <c r="D88" s="161" t="e">
        <f>#REF!</f>
        <v>#REF!</v>
      </c>
      <c r="E88" s="161" t="e">
        <f>#REF!</f>
        <v>#REF!</v>
      </c>
      <c r="F88" s="161" t="e">
        <f>#REF!</f>
        <v>#REF!</v>
      </c>
      <c r="G88" s="161" t="e">
        <f>#REF!</f>
        <v>#REF!</v>
      </c>
      <c r="H88" s="161" t="e">
        <f>#REF!</f>
        <v>#REF!</v>
      </c>
    </row>
    <row r="89" spans="1:8" x14ac:dyDescent="0.3">
      <c r="A89" s="161" t="e">
        <f>#REF!</f>
        <v>#REF!</v>
      </c>
      <c r="B89" s="161" t="e">
        <f>#REF!</f>
        <v>#REF!</v>
      </c>
      <c r="C89" s="161" t="e">
        <f>#REF!</f>
        <v>#REF!</v>
      </c>
      <c r="D89" s="161" t="e">
        <f>#REF!</f>
        <v>#REF!</v>
      </c>
      <c r="E89" s="161" t="e">
        <f>#REF!</f>
        <v>#REF!</v>
      </c>
      <c r="F89" s="161" t="e">
        <f>#REF!</f>
        <v>#REF!</v>
      </c>
      <c r="G89" s="161" t="e">
        <f>#REF!</f>
        <v>#REF!</v>
      </c>
      <c r="H89" s="161" t="e">
        <f>#REF!</f>
        <v>#REF!</v>
      </c>
    </row>
    <row r="90" spans="1:8" x14ac:dyDescent="0.3">
      <c r="A90" s="161" t="e">
        <f>#REF!</f>
        <v>#REF!</v>
      </c>
      <c r="B90" s="161" t="e">
        <f>#REF!</f>
        <v>#REF!</v>
      </c>
      <c r="C90" s="161" t="e">
        <f>#REF!</f>
        <v>#REF!</v>
      </c>
      <c r="D90" s="161" t="e">
        <f>#REF!</f>
        <v>#REF!</v>
      </c>
      <c r="E90" s="161" t="e">
        <f>#REF!</f>
        <v>#REF!</v>
      </c>
      <c r="F90" s="161" t="e">
        <f>#REF!</f>
        <v>#REF!</v>
      </c>
      <c r="G90" s="161" t="e">
        <f>#REF!</f>
        <v>#REF!</v>
      </c>
      <c r="H90" s="161" t="e">
        <f>#REF!</f>
        <v>#REF!</v>
      </c>
    </row>
    <row r="91" spans="1:8" x14ac:dyDescent="0.3">
      <c r="A91" s="161" t="e">
        <f>#REF!</f>
        <v>#REF!</v>
      </c>
      <c r="B91" s="161" t="e">
        <f>#REF!</f>
        <v>#REF!</v>
      </c>
      <c r="C91" s="161" t="e">
        <f>#REF!</f>
        <v>#REF!</v>
      </c>
      <c r="D91" s="161" t="e">
        <f>#REF!</f>
        <v>#REF!</v>
      </c>
      <c r="E91" s="161" t="e">
        <f>#REF!</f>
        <v>#REF!</v>
      </c>
      <c r="F91" s="161" t="e">
        <f>#REF!</f>
        <v>#REF!</v>
      </c>
      <c r="G91" s="161" t="e">
        <f>#REF!</f>
        <v>#REF!</v>
      </c>
      <c r="H91" s="161" t="e">
        <f>#REF!</f>
        <v>#REF!</v>
      </c>
    </row>
    <row r="92" spans="1:8" x14ac:dyDescent="0.3">
      <c r="A92" s="161" t="e">
        <f>#REF!</f>
        <v>#REF!</v>
      </c>
      <c r="B92" s="161" t="e">
        <f>#REF!</f>
        <v>#REF!</v>
      </c>
      <c r="C92" s="161" t="e">
        <f>#REF!</f>
        <v>#REF!</v>
      </c>
      <c r="D92" s="161" t="e">
        <f>#REF!</f>
        <v>#REF!</v>
      </c>
      <c r="E92" s="161" t="e">
        <f>#REF!</f>
        <v>#REF!</v>
      </c>
      <c r="F92" s="161" t="e">
        <f>#REF!</f>
        <v>#REF!</v>
      </c>
      <c r="G92" s="161" t="e">
        <f>#REF!</f>
        <v>#REF!</v>
      </c>
      <c r="H92" s="161" t="e">
        <f>#REF!</f>
        <v>#REF!</v>
      </c>
    </row>
    <row r="93" spans="1:8" x14ac:dyDescent="0.3">
      <c r="A93" s="161" t="e">
        <f>#REF!</f>
        <v>#REF!</v>
      </c>
      <c r="B93" s="161" t="e">
        <f>#REF!</f>
        <v>#REF!</v>
      </c>
      <c r="C93" s="161" t="e">
        <f>#REF!</f>
        <v>#REF!</v>
      </c>
      <c r="D93" s="161" t="e">
        <f>#REF!</f>
        <v>#REF!</v>
      </c>
      <c r="E93" s="161" t="e">
        <f>#REF!</f>
        <v>#REF!</v>
      </c>
      <c r="F93" s="161" t="e">
        <f>#REF!</f>
        <v>#REF!</v>
      </c>
      <c r="G93" s="161" t="e">
        <f>#REF!</f>
        <v>#REF!</v>
      </c>
      <c r="H93" s="161" t="e">
        <f>#REF!</f>
        <v>#REF!</v>
      </c>
    </row>
    <row r="94" spans="1:8" x14ac:dyDescent="0.3">
      <c r="A94" s="161" t="e">
        <f>#REF!</f>
        <v>#REF!</v>
      </c>
      <c r="B94" s="161" t="e">
        <f>#REF!</f>
        <v>#REF!</v>
      </c>
      <c r="C94" s="161" t="e">
        <f>#REF!</f>
        <v>#REF!</v>
      </c>
      <c r="D94" s="161" t="e">
        <f>#REF!</f>
        <v>#REF!</v>
      </c>
      <c r="E94" s="161" t="e">
        <f>#REF!</f>
        <v>#REF!</v>
      </c>
      <c r="F94" s="161" t="e">
        <f>#REF!</f>
        <v>#REF!</v>
      </c>
      <c r="G94" s="161" t="e">
        <f>#REF!</f>
        <v>#REF!</v>
      </c>
      <c r="H94" s="161" t="e">
        <f>#REF!</f>
        <v>#REF!</v>
      </c>
    </row>
    <row r="95" spans="1:8" x14ac:dyDescent="0.3">
      <c r="A95" s="161" t="e">
        <f>#REF!</f>
        <v>#REF!</v>
      </c>
      <c r="B95" s="161" t="e">
        <f>#REF!</f>
        <v>#REF!</v>
      </c>
      <c r="C95" s="161" t="e">
        <f>#REF!</f>
        <v>#REF!</v>
      </c>
      <c r="D95" s="161" t="e">
        <f>#REF!</f>
        <v>#REF!</v>
      </c>
      <c r="E95" s="161" t="e">
        <f>#REF!</f>
        <v>#REF!</v>
      </c>
      <c r="F95" s="161" t="e">
        <f>#REF!</f>
        <v>#REF!</v>
      </c>
      <c r="G95" s="161" t="e">
        <f>#REF!</f>
        <v>#REF!</v>
      </c>
      <c r="H95" s="161" t="e">
        <f>#REF!</f>
        <v>#REF!</v>
      </c>
    </row>
    <row r="96" spans="1:8" x14ac:dyDescent="0.3">
      <c r="A96" s="161" t="e">
        <f>#REF!</f>
        <v>#REF!</v>
      </c>
      <c r="B96" s="161" t="e">
        <f>#REF!</f>
        <v>#REF!</v>
      </c>
      <c r="C96" s="161" t="e">
        <f>#REF!</f>
        <v>#REF!</v>
      </c>
      <c r="D96" s="161" t="e">
        <f>#REF!</f>
        <v>#REF!</v>
      </c>
      <c r="E96" s="161" t="e">
        <f>#REF!</f>
        <v>#REF!</v>
      </c>
      <c r="F96" s="161" t="e">
        <f>#REF!</f>
        <v>#REF!</v>
      </c>
      <c r="G96" s="161" t="e">
        <f>#REF!</f>
        <v>#REF!</v>
      </c>
      <c r="H96" s="161" t="e">
        <f>#REF!</f>
        <v>#REF!</v>
      </c>
    </row>
    <row r="97" spans="1:8" x14ac:dyDescent="0.3">
      <c r="A97" s="161" t="e">
        <f>#REF!</f>
        <v>#REF!</v>
      </c>
      <c r="B97" s="161" t="e">
        <f>#REF!</f>
        <v>#REF!</v>
      </c>
      <c r="C97" s="161" t="e">
        <f>#REF!</f>
        <v>#REF!</v>
      </c>
      <c r="D97" s="161" t="e">
        <f>#REF!</f>
        <v>#REF!</v>
      </c>
      <c r="E97" s="161" t="e">
        <f>#REF!</f>
        <v>#REF!</v>
      </c>
      <c r="F97" s="161" t="e">
        <f>#REF!</f>
        <v>#REF!</v>
      </c>
      <c r="G97" s="161" t="e">
        <f>#REF!</f>
        <v>#REF!</v>
      </c>
      <c r="H97" s="161" t="e">
        <f>#REF!</f>
        <v>#REF!</v>
      </c>
    </row>
    <row r="98" spans="1:8" x14ac:dyDescent="0.3">
      <c r="A98" s="161" t="e">
        <f>#REF!</f>
        <v>#REF!</v>
      </c>
      <c r="B98" s="161" t="e">
        <f>#REF!</f>
        <v>#REF!</v>
      </c>
      <c r="C98" s="161" t="e">
        <f>#REF!</f>
        <v>#REF!</v>
      </c>
      <c r="D98" s="161" t="e">
        <f>#REF!</f>
        <v>#REF!</v>
      </c>
      <c r="E98" s="161" t="e">
        <f>#REF!</f>
        <v>#REF!</v>
      </c>
      <c r="F98" s="161" t="e">
        <f>#REF!</f>
        <v>#REF!</v>
      </c>
      <c r="G98" s="161" t="e">
        <f>#REF!</f>
        <v>#REF!</v>
      </c>
      <c r="H98" s="161" t="e">
        <f>#REF!</f>
        <v>#REF!</v>
      </c>
    </row>
    <row r="99" spans="1:8" x14ac:dyDescent="0.3">
      <c r="A99" s="161" t="e">
        <f>#REF!</f>
        <v>#REF!</v>
      </c>
      <c r="B99" s="161" t="e">
        <f>#REF!</f>
        <v>#REF!</v>
      </c>
      <c r="C99" s="161" t="e">
        <f>#REF!</f>
        <v>#REF!</v>
      </c>
      <c r="D99" s="161" t="e">
        <f>#REF!</f>
        <v>#REF!</v>
      </c>
      <c r="E99" s="161" t="e">
        <f>#REF!</f>
        <v>#REF!</v>
      </c>
      <c r="F99" s="161" t="e">
        <f>#REF!</f>
        <v>#REF!</v>
      </c>
      <c r="G99" s="161" t="e">
        <f>#REF!</f>
        <v>#REF!</v>
      </c>
      <c r="H99" s="161" t="e">
        <f>#REF!</f>
        <v>#REF!</v>
      </c>
    </row>
    <row r="100" spans="1:8" x14ac:dyDescent="0.3">
      <c r="A100" s="161" t="e">
        <f>#REF!</f>
        <v>#REF!</v>
      </c>
      <c r="B100" s="161" t="e">
        <f>#REF!</f>
        <v>#REF!</v>
      </c>
      <c r="C100" s="161" t="e">
        <f>#REF!</f>
        <v>#REF!</v>
      </c>
      <c r="D100" s="161" t="e">
        <f>#REF!</f>
        <v>#REF!</v>
      </c>
      <c r="E100" s="161" t="e">
        <f>#REF!</f>
        <v>#REF!</v>
      </c>
      <c r="F100" s="161" t="e">
        <f>#REF!</f>
        <v>#REF!</v>
      </c>
      <c r="G100" s="161" t="e">
        <f>#REF!</f>
        <v>#REF!</v>
      </c>
      <c r="H100" s="161" t="e">
        <f>#REF!</f>
        <v>#REF!</v>
      </c>
    </row>
    <row r="101" spans="1:8" x14ac:dyDescent="0.3">
      <c r="A101" s="161" t="e">
        <f>#REF!</f>
        <v>#REF!</v>
      </c>
      <c r="B101" s="161" t="e">
        <f>#REF!</f>
        <v>#REF!</v>
      </c>
      <c r="C101" s="161" t="e">
        <f>#REF!</f>
        <v>#REF!</v>
      </c>
      <c r="D101" s="161" t="e">
        <f>#REF!</f>
        <v>#REF!</v>
      </c>
      <c r="E101" s="161" t="e">
        <f>#REF!</f>
        <v>#REF!</v>
      </c>
      <c r="F101" s="161" t="e">
        <f>#REF!</f>
        <v>#REF!</v>
      </c>
      <c r="G101" s="161" t="e">
        <f>#REF!</f>
        <v>#REF!</v>
      </c>
      <c r="H101" s="161" t="e">
        <f>#REF!</f>
        <v>#REF!</v>
      </c>
    </row>
    <row r="102" spans="1:8" x14ac:dyDescent="0.3">
      <c r="A102" s="161" t="e">
        <f>#REF!</f>
        <v>#REF!</v>
      </c>
      <c r="B102" s="161" t="e">
        <f>#REF!</f>
        <v>#REF!</v>
      </c>
      <c r="C102" s="161" t="e">
        <f>#REF!</f>
        <v>#REF!</v>
      </c>
      <c r="D102" s="161" t="e">
        <f>#REF!</f>
        <v>#REF!</v>
      </c>
      <c r="E102" s="161" t="e">
        <f>#REF!</f>
        <v>#REF!</v>
      </c>
      <c r="F102" s="161" t="e">
        <f>#REF!</f>
        <v>#REF!</v>
      </c>
      <c r="G102" s="161" t="e">
        <f>#REF!</f>
        <v>#REF!</v>
      </c>
      <c r="H102" s="161" t="e">
        <f>#REF!</f>
        <v>#REF!</v>
      </c>
    </row>
    <row r="103" spans="1:8" x14ac:dyDescent="0.3">
      <c r="A103" s="161" t="e">
        <f>#REF!</f>
        <v>#REF!</v>
      </c>
      <c r="B103" s="161" t="e">
        <f>#REF!</f>
        <v>#REF!</v>
      </c>
      <c r="C103" s="161" t="e">
        <f>#REF!</f>
        <v>#REF!</v>
      </c>
      <c r="D103" s="161" t="e">
        <f>#REF!</f>
        <v>#REF!</v>
      </c>
      <c r="E103" s="161" t="e">
        <f>#REF!</f>
        <v>#REF!</v>
      </c>
      <c r="F103" s="161" t="e">
        <f>#REF!</f>
        <v>#REF!</v>
      </c>
      <c r="G103" s="161" t="e">
        <f>#REF!</f>
        <v>#REF!</v>
      </c>
      <c r="H103" s="161" t="e">
        <f>#REF!</f>
        <v>#REF!</v>
      </c>
    </row>
    <row r="104" spans="1:8" x14ac:dyDescent="0.3">
      <c r="A104" s="161" t="e">
        <f>#REF!</f>
        <v>#REF!</v>
      </c>
      <c r="B104" s="161" t="e">
        <f>#REF!</f>
        <v>#REF!</v>
      </c>
      <c r="C104" s="161" t="e">
        <f>#REF!</f>
        <v>#REF!</v>
      </c>
      <c r="D104" s="161" t="e">
        <f>#REF!</f>
        <v>#REF!</v>
      </c>
      <c r="E104" s="161" t="e">
        <f>#REF!</f>
        <v>#REF!</v>
      </c>
      <c r="F104" s="161" t="e">
        <f>#REF!</f>
        <v>#REF!</v>
      </c>
      <c r="G104" s="161" t="e">
        <f>#REF!</f>
        <v>#REF!</v>
      </c>
      <c r="H104" s="161" t="e">
        <f>#REF!</f>
        <v>#REF!</v>
      </c>
    </row>
    <row r="105" spans="1:8" x14ac:dyDescent="0.3">
      <c r="A105" s="161" t="e">
        <f>#REF!</f>
        <v>#REF!</v>
      </c>
      <c r="B105" s="161" t="e">
        <f>#REF!</f>
        <v>#REF!</v>
      </c>
      <c r="C105" s="161" t="e">
        <f>#REF!</f>
        <v>#REF!</v>
      </c>
      <c r="D105" s="161" t="e">
        <f>#REF!</f>
        <v>#REF!</v>
      </c>
      <c r="E105" s="161" t="e">
        <f>#REF!</f>
        <v>#REF!</v>
      </c>
      <c r="F105" s="161" t="e">
        <f>#REF!</f>
        <v>#REF!</v>
      </c>
      <c r="G105" s="161" t="e">
        <f>#REF!</f>
        <v>#REF!</v>
      </c>
      <c r="H105" s="161" t="e">
        <f>#REF!</f>
        <v>#REF!</v>
      </c>
    </row>
    <row r="106" spans="1:8" x14ac:dyDescent="0.3">
      <c r="A106" s="161" t="e">
        <f>#REF!</f>
        <v>#REF!</v>
      </c>
      <c r="B106" s="161" t="e">
        <f>#REF!</f>
        <v>#REF!</v>
      </c>
      <c r="C106" s="161" t="e">
        <f>#REF!</f>
        <v>#REF!</v>
      </c>
      <c r="D106" s="161" t="e">
        <f>#REF!</f>
        <v>#REF!</v>
      </c>
      <c r="E106" s="161" t="e">
        <f>#REF!</f>
        <v>#REF!</v>
      </c>
      <c r="F106" s="161" t="e">
        <f>#REF!</f>
        <v>#REF!</v>
      </c>
      <c r="G106" s="161" t="e">
        <f>#REF!</f>
        <v>#REF!</v>
      </c>
      <c r="H106" s="161" t="e">
        <f>#REF!</f>
        <v>#REF!</v>
      </c>
    </row>
    <row r="107" spans="1:8" x14ac:dyDescent="0.3">
      <c r="A107" s="161" t="e">
        <f>#REF!</f>
        <v>#REF!</v>
      </c>
      <c r="B107" s="161" t="e">
        <f>#REF!</f>
        <v>#REF!</v>
      </c>
      <c r="C107" s="161" t="e">
        <f>#REF!</f>
        <v>#REF!</v>
      </c>
      <c r="D107" s="161" t="e">
        <f>#REF!</f>
        <v>#REF!</v>
      </c>
      <c r="E107" s="161" t="e">
        <f>#REF!</f>
        <v>#REF!</v>
      </c>
      <c r="F107" s="161" t="e">
        <f>#REF!</f>
        <v>#REF!</v>
      </c>
      <c r="G107" s="161" t="e">
        <f>#REF!</f>
        <v>#REF!</v>
      </c>
      <c r="H107" s="161" t="e">
        <f>#REF!</f>
        <v>#REF!</v>
      </c>
    </row>
    <row r="108" spans="1:8" x14ac:dyDescent="0.3">
      <c r="A108" s="161" t="e">
        <f>#REF!</f>
        <v>#REF!</v>
      </c>
      <c r="B108" s="161" t="e">
        <f>#REF!</f>
        <v>#REF!</v>
      </c>
      <c r="C108" s="161" t="e">
        <f>#REF!</f>
        <v>#REF!</v>
      </c>
      <c r="D108" s="161" t="e">
        <f>#REF!</f>
        <v>#REF!</v>
      </c>
      <c r="E108" s="161" t="e">
        <f>#REF!</f>
        <v>#REF!</v>
      </c>
      <c r="F108" s="161" t="e">
        <f>#REF!</f>
        <v>#REF!</v>
      </c>
      <c r="G108" s="161" t="e">
        <f>#REF!</f>
        <v>#REF!</v>
      </c>
      <c r="H108" s="161" t="e">
        <f>#REF!</f>
        <v>#REF!</v>
      </c>
    </row>
    <row r="109" spans="1:8" x14ac:dyDescent="0.3">
      <c r="A109" s="161" t="e">
        <f>#REF!</f>
        <v>#REF!</v>
      </c>
      <c r="B109" s="161" t="e">
        <f>#REF!</f>
        <v>#REF!</v>
      </c>
      <c r="C109" s="161" t="e">
        <f>#REF!</f>
        <v>#REF!</v>
      </c>
      <c r="D109" s="161" t="e">
        <f>#REF!</f>
        <v>#REF!</v>
      </c>
      <c r="E109" s="161" t="e">
        <f>#REF!</f>
        <v>#REF!</v>
      </c>
      <c r="F109" s="161" t="e">
        <f>#REF!</f>
        <v>#REF!</v>
      </c>
      <c r="G109" s="161" t="e">
        <f>#REF!</f>
        <v>#REF!</v>
      </c>
      <c r="H109" s="161" t="e">
        <f>#REF!</f>
        <v>#REF!</v>
      </c>
    </row>
    <row r="110" spans="1:8" x14ac:dyDescent="0.3">
      <c r="A110" s="161" t="e">
        <f>#REF!</f>
        <v>#REF!</v>
      </c>
      <c r="B110" s="161" t="e">
        <f>#REF!</f>
        <v>#REF!</v>
      </c>
      <c r="C110" s="161" t="e">
        <f>#REF!</f>
        <v>#REF!</v>
      </c>
      <c r="D110" s="161" t="e">
        <f>#REF!</f>
        <v>#REF!</v>
      </c>
      <c r="E110" s="161" t="e">
        <f>#REF!</f>
        <v>#REF!</v>
      </c>
      <c r="F110" s="161" t="e">
        <f>#REF!</f>
        <v>#REF!</v>
      </c>
      <c r="G110" s="161" t="e">
        <f>#REF!</f>
        <v>#REF!</v>
      </c>
      <c r="H110" s="161" t="e">
        <f>#REF!</f>
        <v>#REF!</v>
      </c>
    </row>
    <row r="111" spans="1:8" x14ac:dyDescent="0.3">
      <c r="A111" s="161" t="e">
        <f>#REF!</f>
        <v>#REF!</v>
      </c>
      <c r="B111" s="161" t="e">
        <f>#REF!</f>
        <v>#REF!</v>
      </c>
      <c r="C111" s="161" t="e">
        <f>#REF!</f>
        <v>#REF!</v>
      </c>
      <c r="D111" s="161" t="e">
        <f>#REF!</f>
        <v>#REF!</v>
      </c>
      <c r="E111" s="161" t="e">
        <f>#REF!</f>
        <v>#REF!</v>
      </c>
      <c r="F111" s="161" t="e">
        <f>#REF!</f>
        <v>#REF!</v>
      </c>
      <c r="G111" s="161" t="e">
        <f>#REF!</f>
        <v>#REF!</v>
      </c>
      <c r="H111" s="161" t="e">
        <f>#REF!</f>
        <v>#REF!</v>
      </c>
    </row>
    <row r="112" spans="1:8" x14ac:dyDescent="0.3">
      <c r="A112" s="161" t="e">
        <f>#REF!</f>
        <v>#REF!</v>
      </c>
      <c r="B112" s="161" t="e">
        <f>#REF!</f>
        <v>#REF!</v>
      </c>
      <c r="C112" s="161" t="e">
        <f>#REF!</f>
        <v>#REF!</v>
      </c>
      <c r="D112" s="161" t="e">
        <f>#REF!</f>
        <v>#REF!</v>
      </c>
      <c r="E112" s="161" t="e">
        <f>#REF!</f>
        <v>#REF!</v>
      </c>
      <c r="F112" s="161" t="e">
        <f>#REF!</f>
        <v>#REF!</v>
      </c>
      <c r="G112" s="161" t="e">
        <f>#REF!</f>
        <v>#REF!</v>
      </c>
      <c r="H112" s="161" t="e">
        <f>#REF!</f>
        <v>#REF!</v>
      </c>
    </row>
    <row r="113" spans="1:8" x14ac:dyDescent="0.3">
      <c r="A113" s="161" t="e">
        <f>#REF!</f>
        <v>#REF!</v>
      </c>
      <c r="B113" s="161" t="e">
        <f>#REF!</f>
        <v>#REF!</v>
      </c>
      <c r="C113" s="161" t="e">
        <f>#REF!</f>
        <v>#REF!</v>
      </c>
      <c r="D113" s="161" t="e">
        <f>#REF!</f>
        <v>#REF!</v>
      </c>
      <c r="E113" s="161" t="e">
        <f>#REF!</f>
        <v>#REF!</v>
      </c>
      <c r="F113" s="161" t="e">
        <f>#REF!</f>
        <v>#REF!</v>
      </c>
      <c r="G113" s="161" t="e">
        <f>#REF!</f>
        <v>#REF!</v>
      </c>
      <c r="H113" s="161" t="e">
        <f>#REF!</f>
        <v>#REF!</v>
      </c>
    </row>
    <row r="114" spans="1:8" x14ac:dyDescent="0.3">
      <c r="A114" s="161" t="e">
        <f>#REF!</f>
        <v>#REF!</v>
      </c>
      <c r="B114" s="161" t="e">
        <f>#REF!</f>
        <v>#REF!</v>
      </c>
      <c r="C114" s="161" t="e">
        <f>#REF!</f>
        <v>#REF!</v>
      </c>
      <c r="D114" s="161" t="e">
        <f>#REF!</f>
        <v>#REF!</v>
      </c>
      <c r="E114" s="161" t="e">
        <f>#REF!</f>
        <v>#REF!</v>
      </c>
      <c r="F114" s="161" t="e">
        <f>#REF!</f>
        <v>#REF!</v>
      </c>
      <c r="G114" s="161" t="e">
        <f>#REF!</f>
        <v>#REF!</v>
      </c>
      <c r="H114" s="161" t="e">
        <f>#REF!</f>
        <v>#REF!</v>
      </c>
    </row>
    <row r="115" spans="1:8" x14ac:dyDescent="0.3">
      <c r="A115" s="161" t="e">
        <f>#REF!</f>
        <v>#REF!</v>
      </c>
      <c r="B115" s="161" t="e">
        <f>#REF!</f>
        <v>#REF!</v>
      </c>
      <c r="C115" s="161" t="e">
        <f>#REF!</f>
        <v>#REF!</v>
      </c>
      <c r="D115" s="161" t="e">
        <f>#REF!</f>
        <v>#REF!</v>
      </c>
      <c r="E115" s="161" t="e">
        <f>#REF!</f>
        <v>#REF!</v>
      </c>
      <c r="F115" s="161" t="e">
        <f>#REF!</f>
        <v>#REF!</v>
      </c>
      <c r="G115" s="161" t="e">
        <f>#REF!</f>
        <v>#REF!</v>
      </c>
      <c r="H115" s="161" t="e">
        <f>#REF!</f>
        <v>#REF!</v>
      </c>
    </row>
    <row r="116" spans="1:8" x14ac:dyDescent="0.3">
      <c r="A116" s="161" t="e">
        <f>#REF!</f>
        <v>#REF!</v>
      </c>
      <c r="B116" s="161" t="e">
        <f>#REF!</f>
        <v>#REF!</v>
      </c>
      <c r="C116" s="161" t="e">
        <f>#REF!</f>
        <v>#REF!</v>
      </c>
      <c r="D116" s="161" t="e">
        <f>#REF!</f>
        <v>#REF!</v>
      </c>
      <c r="E116" s="161" t="e">
        <f>#REF!</f>
        <v>#REF!</v>
      </c>
      <c r="F116" s="161" t="e">
        <f>#REF!</f>
        <v>#REF!</v>
      </c>
      <c r="G116" s="161" t="e">
        <f>#REF!</f>
        <v>#REF!</v>
      </c>
      <c r="H116" s="161" t="e">
        <f>#REF!</f>
        <v>#REF!</v>
      </c>
    </row>
    <row r="117" spans="1:8" x14ac:dyDescent="0.3">
      <c r="A117" s="161" t="e">
        <f>#REF!</f>
        <v>#REF!</v>
      </c>
      <c r="B117" s="161" t="e">
        <f>#REF!</f>
        <v>#REF!</v>
      </c>
      <c r="C117" s="161" t="e">
        <f>#REF!</f>
        <v>#REF!</v>
      </c>
      <c r="D117" s="161" t="e">
        <f>#REF!</f>
        <v>#REF!</v>
      </c>
      <c r="E117" s="161" t="e">
        <f>#REF!</f>
        <v>#REF!</v>
      </c>
      <c r="F117" s="161" t="e">
        <f>#REF!</f>
        <v>#REF!</v>
      </c>
      <c r="G117" s="161" t="e">
        <f>#REF!</f>
        <v>#REF!</v>
      </c>
      <c r="H117" s="161" t="e">
        <f>#REF!</f>
        <v>#REF!</v>
      </c>
    </row>
    <row r="118" spans="1:8" x14ac:dyDescent="0.3">
      <c r="A118" s="161" t="e">
        <f>#REF!</f>
        <v>#REF!</v>
      </c>
      <c r="B118" s="161" t="e">
        <f>#REF!</f>
        <v>#REF!</v>
      </c>
      <c r="C118" s="161" t="e">
        <f>#REF!</f>
        <v>#REF!</v>
      </c>
      <c r="D118" s="161" t="e">
        <f>#REF!</f>
        <v>#REF!</v>
      </c>
      <c r="E118" s="161" t="e">
        <f>#REF!</f>
        <v>#REF!</v>
      </c>
      <c r="F118" s="161" t="e">
        <f>#REF!</f>
        <v>#REF!</v>
      </c>
      <c r="G118" s="161" t="e">
        <f>#REF!</f>
        <v>#REF!</v>
      </c>
      <c r="H118" s="161" t="e">
        <f>#REF!</f>
        <v>#REF!</v>
      </c>
    </row>
    <row r="119" spans="1:8" x14ac:dyDescent="0.3">
      <c r="A119" s="161" t="e">
        <f>#REF!</f>
        <v>#REF!</v>
      </c>
      <c r="B119" s="161" t="e">
        <f>#REF!</f>
        <v>#REF!</v>
      </c>
      <c r="C119" s="161" t="e">
        <f>#REF!</f>
        <v>#REF!</v>
      </c>
      <c r="D119" s="161" t="e">
        <f>#REF!</f>
        <v>#REF!</v>
      </c>
      <c r="E119" s="161" t="e">
        <f>#REF!</f>
        <v>#REF!</v>
      </c>
      <c r="F119" s="161" t="e">
        <f>#REF!</f>
        <v>#REF!</v>
      </c>
      <c r="G119" s="161" t="e">
        <f>#REF!</f>
        <v>#REF!</v>
      </c>
      <c r="H119" s="161" t="e">
        <f>#REF!</f>
        <v>#REF!</v>
      </c>
    </row>
    <row r="120" spans="1:8" x14ac:dyDescent="0.3">
      <c r="A120" s="161" t="e">
        <f>#REF!</f>
        <v>#REF!</v>
      </c>
      <c r="B120" s="161" t="e">
        <f>#REF!</f>
        <v>#REF!</v>
      </c>
      <c r="C120" s="161" t="e">
        <f>#REF!</f>
        <v>#REF!</v>
      </c>
      <c r="D120" s="161" t="e">
        <f>#REF!</f>
        <v>#REF!</v>
      </c>
      <c r="E120" s="161" t="e">
        <f>#REF!</f>
        <v>#REF!</v>
      </c>
      <c r="F120" s="161" t="e">
        <f>#REF!</f>
        <v>#REF!</v>
      </c>
      <c r="G120" s="161" t="e">
        <f>#REF!</f>
        <v>#REF!</v>
      </c>
      <c r="H120" s="161" t="e">
        <f>#REF!</f>
        <v>#REF!</v>
      </c>
    </row>
    <row r="121" spans="1:8" x14ac:dyDescent="0.3">
      <c r="A121" s="161" t="e">
        <f>#REF!</f>
        <v>#REF!</v>
      </c>
      <c r="B121" s="161" t="e">
        <f>#REF!</f>
        <v>#REF!</v>
      </c>
      <c r="C121" s="161" t="e">
        <f>#REF!</f>
        <v>#REF!</v>
      </c>
      <c r="D121" s="161" t="e">
        <f>#REF!</f>
        <v>#REF!</v>
      </c>
      <c r="E121" s="161" t="e">
        <f>#REF!</f>
        <v>#REF!</v>
      </c>
      <c r="F121" s="161" t="e">
        <f>#REF!</f>
        <v>#REF!</v>
      </c>
      <c r="G121" s="161" t="e">
        <f>#REF!</f>
        <v>#REF!</v>
      </c>
      <c r="H121" s="161" t="e">
        <f>#REF!</f>
        <v>#REF!</v>
      </c>
    </row>
    <row r="122" spans="1:8" x14ac:dyDescent="0.3">
      <c r="A122" s="161" t="e">
        <f>#REF!</f>
        <v>#REF!</v>
      </c>
      <c r="B122" s="161" t="e">
        <f>#REF!</f>
        <v>#REF!</v>
      </c>
      <c r="C122" s="161" t="e">
        <f>#REF!</f>
        <v>#REF!</v>
      </c>
      <c r="D122" s="161" t="e">
        <f>#REF!</f>
        <v>#REF!</v>
      </c>
      <c r="E122" s="161" t="e">
        <f>#REF!</f>
        <v>#REF!</v>
      </c>
      <c r="F122" s="161" t="e">
        <f>#REF!</f>
        <v>#REF!</v>
      </c>
      <c r="G122" s="161" t="e">
        <f>#REF!</f>
        <v>#REF!</v>
      </c>
      <c r="H122" s="161" t="e">
        <f>#REF!</f>
        <v>#REF!</v>
      </c>
    </row>
    <row r="123" spans="1:8" x14ac:dyDescent="0.3">
      <c r="A123" s="161" t="e">
        <f>#REF!</f>
        <v>#REF!</v>
      </c>
      <c r="B123" s="161" t="e">
        <f>#REF!</f>
        <v>#REF!</v>
      </c>
      <c r="C123" s="161" t="e">
        <f>#REF!</f>
        <v>#REF!</v>
      </c>
      <c r="D123" s="161" t="e">
        <f>#REF!</f>
        <v>#REF!</v>
      </c>
      <c r="E123" s="161" t="e">
        <f>#REF!</f>
        <v>#REF!</v>
      </c>
      <c r="F123" s="161" t="e">
        <f>#REF!</f>
        <v>#REF!</v>
      </c>
      <c r="G123" s="161" t="e">
        <f>#REF!</f>
        <v>#REF!</v>
      </c>
      <c r="H123" s="161" t="e">
        <f>#REF!</f>
        <v>#REF!</v>
      </c>
    </row>
    <row r="124" spans="1:8" x14ac:dyDescent="0.3">
      <c r="A124" s="161" t="e">
        <f>#REF!</f>
        <v>#REF!</v>
      </c>
      <c r="B124" s="161" t="e">
        <f>#REF!</f>
        <v>#REF!</v>
      </c>
      <c r="C124" s="161" t="e">
        <f>#REF!</f>
        <v>#REF!</v>
      </c>
      <c r="D124" s="161" t="e">
        <f>#REF!</f>
        <v>#REF!</v>
      </c>
      <c r="E124" s="161" t="e">
        <f>#REF!</f>
        <v>#REF!</v>
      </c>
      <c r="F124" s="161" t="e">
        <f>#REF!</f>
        <v>#REF!</v>
      </c>
      <c r="G124" s="161" t="e">
        <f>#REF!</f>
        <v>#REF!</v>
      </c>
      <c r="H124" s="161" t="e">
        <f>#REF!</f>
        <v>#REF!</v>
      </c>
    </row>
    <row r="125" spans="1:8" x14ac:dyDescent="0.3">
      <c r="A125" s="161" t="e">
        <f>#REF!</f>
        <v>#REF!</v>
      </c>
      <c r="B125" s="161" t="e">
        <f>#REF!</f>
        <v>#REF!</v>
      </c>
      <c r="C125" s="161" t="e">
        <f>#REF!</f>
        <v>#REF!</v>
      </c>
      <c r="D125" s="161" t="e">
        <f>#REF!</f>
        <v>#REF!</v>
      </c>
      <c r="E125" s="161" t="e">
        <f>#REF!</f>
        <v>#REF!</v>
      </c>
      <c r="F125" s="161" t="e">
        <f>#REF!</f>
        <v>#REF!</v>
      </c>
      <c r="G125" s="161" t="e">
        <f>#REF!</f>
        <v>#REF!</v>
      </c>
      <c r="H125" s="161" t="e">
        <f>#REF!</f>
        <v>#REF!</v>
      </c>
    </row>
    <row r="126" spans="1:8" x14ac:dyDescent="0.3">
      <c r="A126" s="161" t="e">
        <f>#REF!</f>
        <v>#REF!</v>
      </c>
      <c r="B126" s="161" t="e">
        <f>#REF!</f>
        <v>#REF!</v>
      </c>
      <c r="C126" s="161" t="e">
        <f>#REF!</f>
        <v>#REF!</v>
      </c>
      <c r="D126" s="161" t="e">
        <f>#REF!</f>
        <v>#REF!</v>
      </c>
      <c r="E126" s="161" t="e">
        <f>#REF!</f>
        <v>#REF!</v>
      </c>
      <c r="F126" s="161" t="e">
        <f>#REF!</f>
        <v>#REF!</v>
      </c>
      <c r="G126" s="161" t="e">
        <f>#REF!</f>
        <v>#REF!</v>
      </c>
      <c r="H126" s="161" t="e">
        <f>#REF!</f>
        <v>#REF!</v>
      </c>
    </row>
    <row r="127" spans="1:8" x14ac:dyDescent="0.3">
      <c r="A127" s="161" t="e">
        <f>#REF!</f>
        <v>#REF!</v>
      </c>
      <c r="B127" s="161" t="e">
        <f>#REF!</f>
        <v>#REF!</v>
      </c>
      <c r="C127" s="161" t="e">
        <f>#REF!</f>
        <v>#REF!</v>
      </c>
      <c r="D127" s="161" t="e">
        <f>#REF!</f>
        <v>#REF!</v>
      </c>
      <c r="E127" s="161" t="e">
        <f>#REF!</f>
        <v>#REF!</v>
      </c>
      <c r="F127" s="161" t="e">
        <f>#REF!</f>
        <v>#REF!</v>
      </c>
      <c r="G127" s="161" t="e">
        <f>#REF!</f>
        <v>#REF!</v>
      </c>
      <c r="H127" s="161" t="e">
        <f>#REF!</f>
        <v>#REF!</v>
      </c>
    </row>
    <row r="128" spans="1:8" x14ac:dyDescent="0.3">
      <c r="A128" s="161" t="e">
        <f>#REF!</f>
        <v>#REF!</v>
      </c>
      <c r="B128" s="161" t="e">
        <f>#REF!</f>
        <v>#REF!</v>
      </c>
      <c r="C128" s="161" t="e">
        <f>#REF!</f>
        <v>#REF!</v>
      </c>
      <c r="D128" s="161" t="e">
        <f>#REF!</f>
        <v>#REF!</v>
      </c>
      <c r="E128" s="161" t="e">
        <f>#REF!</f>
        <v>#REF!</v>
      </c>
      <c r="F128" s="161" t="e">
        <f>#REF!</f>
        <v>#REF!</v>
      </c>
      <c r="G128" s="161" t="e">
        <f>#REF!</f>
        <v>#REF!</v>
      </c>
      <c r="H128" s="161" t="e">
        <f>#REF!</f>
        <v>#REF!</v>
      </c>
    </row>
    <row r="129" spans="1:8" x14ac:dyDescent="0.3">
      <c r="A129" s="161" t="e">
        <f>#REF!</f>
        <v>#REF!</v>
      </c>
      <c r="B129" s="161" t="e">
        <f>#REF!</f>
        <v>#REF!</v>
      </c>
      <c r="C129" s="161" t="e">
        <f>#REF!</f>
        <v>#REF!</v>
      </c>
      <c r="D129" s="161" t="e">
        <f>#REF!</f>
        <v>#REF!</v>
      </c>
      <c r="E129" s="161" t="e">
        <f>#REF!</f>
        <v>#REF!</v>
      </c>
      <c r="F129" s="161" t="e">
        <f>#REF!</f>
        <v>#REF!</v>
      </c>
      <c r="G129" s="161" t="e">
        <f>#REF!</f>
        <v>#REF!</v>
      </c>
      <c r="H129" s="161" t="e">
        <f>#REF!</f>
        <v>#REF!</v>
      </c>
    </row>
    <row r="130" spans="1:8" x14ac:dyDescent="0.3">
      <c r="A130" s="161" t="e">
        <f>#REF!</f>
        <v>#REF!</v>
      </c>
      <c r="B130" s="161" t="e">
        <f>#REF!</f>
        <v>#REF!</v>
      </c>
      <c r="C130" s="161" t="e">
        <f>#REF!</f>
        <v>#REF!</v>
      </c>
      <c r="D130" s="161" t="e">
        <f>#REF!</f>
        <v>#REF!</v>
      </c>
      <c r="E130" s="161" t="e">
        <f>#REF!</f>
        <v>#REF!</v>
      </c>
      <c r="F130" s="161" t="e">
        <f>#REF!</f>
        <v>#REF!</v>
      </c>
      <c r="G130" s="161" t="e">
        <f>#REF!</f>
        <v>#REF!</v>
      </c>
      <c r="H130" s="161" t="e">
        <f>#REF!</f>
        <v>#REF!</v>
      </c>
    </row>
    <row r="131" spans="1:8" x14ac:dyDescent="0.3">
      <c r="A131" s="161" t="e">
        <f>#REF!</f>
        <v>#REF!</v>
      </c>
      <c r="B131" s="161" t="e">
        <f>#REF!</f>
        <v>#REF!</v>
      </c>
      <c r="C131" s="161" t="e">
        <f>#REF!</f>
        <v>#REF!</v>
      </c>
      <c r="D131" s="161" t="e">
        <f>#REF!</f>
        <v>#REF!</v>
      </c>
      <c r="E131" s="161" t="e">
        <f>#REF!</f>
        <v>#REF!</v>
      </c>
      <c r="F131" s="161" t="e">
        <f>#REF!</f>
        <v>#REF!</v>
      </c>
      <c r="G131" s="161" t="e">
        <f>#REF!</f>
        <v>#REF!</v>
      </c>
      <c r="H131" s="161" t="e">
        <f>#REF!</f>
        <v>#REF!</v>
      </c>
    </row>
    <row r="132" spans="1:8" x14ac:dyDescent="0.3">
      <c r="A132" s="161" t="e">
        <f>#REF!</f>
        <v>#REF!</v>
      </c>
      <c r="B132" s="161" t="e">
        <f>#REF!</f>
        <v>#REF!</v>
      </c>
      <c r="C132" s="161" t="e">
        <f>#REF!</f>
        <v>#REF!</v>
      </c>
      <c r="D132" s="161" t="e">
        <f>#REF!</f>
        <v>#REF!</v>
      </c>
      <c r="E132" s="161" t="e">
        <f>#REF!</f>
        <v>#REF!</v>
      </c>
      <c r="F132" s="161" t="e">
        <f>#REF!</f>
        <v>#REF!</v>
      </c>
      <c r="G132" s="161" t="e">
        <f>#REF!</f>
        <v>#REF!</v>
      </c>
      <c r="H132" s="161" t="e">
        <f>#REF!</f>
        <v>#REF!</v>
      </c>
    </row>
    <row r="133" spans="1:8" x14ac:dyDescent="0.3">
      <c r="A133" s="161" t="e">
        <f>#REF!</f>
        <v>#REF!</v>
      </c>
      <c r="B133" s="161" t="e">
        <f>#REF!</f>
        <v>#REF!</v>
      </c>
      <c r="C133" s="161" t="e">
        <f>#REF!</f>
        <v>#REF!</v>
      </c>
      <c r="D133" s="161" t="e">
        <f>#REF!</f>
        <v>#REF!</v>
      </c>
      <c r="E133" s="161" t="e">
        <f>#REF!</f>
        <v>#REF!</v>
      </c>
      <c r="F133" s="161" t="e">
        <f>#REF!</f>
        <v>#REF!</v>
      </c>
      <c r="G133" s="161" t="e">
        <f>#REF!</f>
        <v>#REF!</v>
      </c>
      <c r="H133" s="161" t="e">
        <f>#REF!</f>
        <v>#REF!</v>
      </c>
    </row>
    <row r="134" spans="1:8" x14ac:dyDescent="0.3">
      <c r="A134" s="161" t="e">
        <f>#REF!</f>
        <v>#REF!</v>
      </c>
      <c r="B134" s="161" t="e">
        <f>#REF!</f>
        <v>#REF!</v>
      </c>
      <c r="C134" s="161" t="e">
        <f>#REF!</f>
        <v>#REF!</v>
      </c>
      <c r="D134" s="161" t="e">
        <f>#REF!</f>
        <v>#REF!</v>
      </c>
      <c r="E134" s="161" t="e">
        <f>#REF!</f>
        <v>#REF!</v>
      </c>
      <c r="F134" s="161" t="e">
        <f>#REF!</f>
        <v>#REF!</v>
      </c>
      <c r="G134" s="161" t="e">
        <f>#REF!</f>
        <v>#REF!</v>
      </c>
      <c r="H134" s="161" t="e">
        <f>#REF!</f>
        <v>#REF!</v>
      </c>
    </row>
    <row r="135" spans="1:8" x14ac:dyDescent="0.3">
      <c r="A135" s="161" t="e">
        <f>#REF!</f>
        <v>#REF!</v>
      </c>
      <c r="B135" s="161" t="e">
        <f>#REF!</f>
        <v>#REF!</v>
      </c>
      <c r="C135" s="161" t="e">
        <f>#REF!</f>
        <v>#REF!</v>
      </c>
      <c r="D135" s="161" t="e">
        <f>#REF!</f>
        <v>#REF!</v>
      </c>
      <c r="E135" s="161" t="e">
        <f>#REF!</f>
        <v>#REF!</v>
      </c>
      <c r="F135" s="161" t="e">
        <f>#REF!</f>
        <v>#REF!</v>
      </c>
      <c r="G135" s="161" t="e">
        <f>#REF!</f>
        <v>#REF!</v>
      </c>
      <c r="H135" s="161" t="e">
        <f>#REF!</f>
        <v>#REF!</v>
      </c>
    </row>
    <row r="136" spans="1:8" x14ac:dyDescent="0.3">
      <c r="A136" s="161" t="e">
        <f>#REF!</f>
        <v>#REF!</v>
      </c>
      <c r="B136" s="161" t="e">
        <f>#REF!</f>
        <v>#REF!</v>
      </c>
      <c r="C136" s="161" t="e">
        <f>#REF!</f>
        <v>#REF!</v>
      </c>
      <c r="D136" s="161" t="e">
        <f>#REF!</f>
        <v>#REF!</v>
      </c>
      <c r="E136" s="161" t="e">
        <f>#REF!</f>
        <v>#REF!</v>
      </c>
      <c r="F136" s="161" t="e">
        <f>#REF!</f>
        <v>#REF!</v>
      </c>
      <c r="G136" s="161" t="e">
        <f>#REF!</f>
        <v>#REF!</v>
      </c>
      <c r="H136" s="161" t="e">
        <f>#REF!</f>
        <v>#REF!</v>
      </c>
    </row>
    <row r="137" spans="1:8" x14ac:dyDescent="0.3">
      <c r="A137" s="161" t="e">
        <f>#REF!</f>
        <v>#REF!</v>
      </c>
      <c r="B137" s="161" t="e">
        <f>#REF!</f>
        <v>#REF!</v>
      </c>
      <c r="C137" s="161" t="e">
        <f>#REF!</f>
        <v>#REF!</v>
      </c>
      <c r="D137" s="161" t="e">
        <f>#REF!</f>
        <v>#REF!</v>
      </c>
      <c r="E137" s="161" t="e">
        <f>#REF!</f>
        <v>#REF!</v>
      </c>
      <c r="F137" s="161" t="e">
        <f>#REF!</f>
        <v>#REF!</v>
      </c>
      <c r="G137" s="161" t="e">
        <f>#REF!</f>
        <v>#REF!</v>
      </c>
      <c r="H137" s="161" t="e">
        <f>#REF!</f>
        <v>#REF!</v>
      </c>
    </row>
    <row r="138" spans="1:8" x14ac:dyDescent="0.3">
      <c r="A138" s="161" t="e">
        <f>#REF!</f>
        <v>#REF!</v>
      </c>
      <c r="B138" s="161" t="e">
        <f>#REF!</f>
        <v>#REF!</v>
      </c>
      <c r="C138" s="161" t="e">
        <f>#REF!</f>
        <v>#REF!</v>
      </c>
      <c r="D138" s="161" t="e">
        <f>#REF!</f>
        <v>#REF!</v>
      </c>
      <c r="E138" s="161" t="e">
        <f>#REF!</f>
        <v>#REF!</v>
      </c>
      <c r="F138" s="161" t="e">
        <f>#REF!</f>
        <v>#REF!</v>
      </c>
      <c r="G138" s="161" t="e">
        <f>#REF!</f>
        <v>#REF!</v>
      </c>
      <c r="H138" s="161" t="e">
        <f>#REF!</f>
        <v>#REF!</v>
      </c>
    </row>
    <row r="139" spans="1:8" x14ac:dyDescent="0.3">
      <c r="A139" s="161" t="e">
        <f>#REF!</f>
        <v>#REF!</v>
      </c>
      <c r="B139" s="161" t="e">
        <f>#REF!</f>
        <v>#REF!</v>
      </c>
      <c r="C139" s="161" t="e">
        <f>#REF!</f>
        <v>#REF!</v>
      </c>
      <c r="D139" s="161" t="e">
        <f>#REF!</f>
        <v>#REF!</v>
      </c>
      <c r="E139" s="161" t="e">
        <f>#REF!</f>
        <v>#REF!</v>
      </c>
      <c r="F139" s="161" t="e">
        <f>#REF!</f>
        <v>#REF!</v>
      </c>
      <c r="G139" s="161" t="e">
        <f>#REF!</f>
        <v>#REF!</v>
      </c>
      <c r="H139" s="161" t="e">
        <f>#REF!</f>
        <v>#REF!</v>
      </c>
    </row>
    <row r="140" spans="1:8" x14ac:dyDescent="0.3">
      <c r="A140" s="161" t="e">
        <f>#REF!</f>
        <v>#REF!</v>
      </c>
      <c r="B140" s="161" t="e">
        <f>#REF!</f>
        <v>#REF!</v>
      </c>
      <c r="C140" s="161" t="e">
        <f>#REF!</f>
        <v>#REF!</v>
      </c>
      <c r="D140" s="161" t="e">
        <f>#REF!</f>
        <v>#REF!</v>
      </c>
      <c r="E140" s="161" t="e">
        <f>#REF!</f>
        <v>#REF!</v>
      </c>
      <c r="F140" s="161" t="e">
        <f>#REF!</f>
        <v>#REF!</v>
      </c>
      <c r="G140" s="161" t="e">
        <f>#REF!</f>
        <v>#REF!</v>
      </c>
      <c r="H140" s="161" t="e">
        <f>#REF!</f>
        <v>#REF!</v>
      </c>
    </row>
    <row r="141" spans="1:8" x14ac:dyDescent="0.3">
      <c r="A141" s="161" t="e">
        <f>#REF!</f>
        <v>#REF!</v>
      </c>
      <c r="B141" s="161" t="e">
        <f>#REF!</f>
        <v>#REF!</v>
      </c>
      <c r="C141" s="161" t="e">
        <f>#REF!</f>
        <v>#REF!</v>
      </c>
      <c r="D141" s="161" t="e">
        <f>#REF!</f>
        <v>#REF!</v>
      </c>
      <c r="E141" s="161" t="e">
        <f>#REF!</f>
        <v>#REF!</v>
      </c>
      <c r="F141" s="161" t="e">
        <f>#REF!</f>
        <v>#REF!</v>
      </c>
      <c r="G141" s="161" t="e">
        <f>#REF!</f>
        <v>#REF!</v>
      </c>
      <c r="H141" s="161" t="e">
        <f>#REF!</f>
        <v>#REF!</v>
      </c>
    </row>
    <row r="142" spans="1:8" x14ac:dyDescent="0.3">
      <c r="A142" s="161" t="e">
        <f>#REF!</f>
        <v>#REF!</v>
      </c>
      <c r="B142" s="161" t="e">
        <f>#REF!</f>
        <v>#REF!</v>
      </c>
      <c r="C142" s="161" t="e">
        <f>#REF!</f>
        <v>#REF!</v>
      </c>
      <c r="D142" s="161" t="e">
        <f>#REF!</f>
        <v>#REF!</v>
      </c>
      <c r="E142" s="161" t="e">
        <f>#REF!</f>
        <v>#REF!</v>
      </c>
      <c r="F142" s="161" t="e">
        <f>#REF!</f>
        <v>#REF!</v>
      </c>
      <c r="G142" s="161" t="e">
        <f>#REF!</f>
        <v>#REF!</v>
      </c>
      <c r="H142" s="161" t="e">
        <f>#REF!</f>
        <v>#REF!</v>
      </c>
    </row>
    <row r="143" spans="1:8" x14ac:dyDescent="0.3">
      <c r="A143" s="161" t="e">
        <f>#REF!</f>
        <v>#REF!</v>
      </c>
      <c r="B143" s="161" t="e">
        <f>#REF!</f>
        <v>#REF!</v>
      </c>
      <c r="C143" s="161" t="e">
        <f>#REF!</f>
        <v>#REF!</v>
      </c>
      <c r="D143" s="161" t="e">
        <f>#REF!</f>
        <v>#REF!</v>
      </c>
      <c r="E143" s="161" t="e">
        <f>#REF!</f>
        <v>#REF!</v>
      </c>
      <c r="F143" s="161" t="e">
        <f>#REF!</f>
        <v>#REF!</v>
      </c>
      <c r="G143" s="161" t="e">
        <f>#REF!</f>
        <v>#REF!</v>
      </c>
      <c r="H143" s="161" t="e">
        <f>#REF!</f>
        <v>#REF!</v>
      </c>
    </row>
    <row r="144" spans="1:8" x14ac:dyDescent="0.3">
      <c r="A144" s="161" t="e">
        <f>#REF!</f>
        <v>#REF!</v>
      </c>
      <c r="B144" s="161" t="e">
        <f>#REF!</f>
        <v>#REF!</v>
      </c>
      <c r="C144" s="161" t="e">
        <f>#REF!</f>
        <v>#REF!</v>
      </c>
      <c r="D144" s="161" t="e">
        <f>#REF!</f>
        <v>#REF!</v>
      </c>
      <c r="E144" s="161" t="e">
        <f>#REF!</f>
        <v>#REF!</v>
      </c>
      <c r="F144" s="161" t="e">
        <f>#REF!</f>
        <v>#REF!</v>
      </c>
      <c r="G144" s="161" t="e">
        <f>#REF!</f>
        <v>#REF!</v>
      </c>
      <c r="H144" s="161" t="e">
        <f>#REF!</f>
        <v>#REF!</v>
      </c>
    </row>
    <row r="145" spans="1:8" x14ac:dyDescent="0.3">
      <c r="A145" s="161" t="e">
        <f>#REF!</f>
        <v>#REF!</v>
      </c>
      <c r="B145" s="161" t="e">
        <f>#REF!</f>
        <v>#REF!</v>
      </c>
      <c r="C145" s="161" t="e">
        <f>#REF!</f>
        <v>#REF!</v>
      </c>
      <c r="D145" s="161" t="e">
        <f>#REF!</f>
        <v>#REF!</v>
      </c>
      <c r="E145" s="161" t="e">
        <f>#REF!</f>
        <v>#REF!</v>
      </c>
      <c r="F145" s="161" t="e">
        <f>#REF!</f>
        <v>#REF!</v>
      </c>
      <c r="G145" s="161" t="e">
        <f>#REF!</f>
        <v>#REF!</v>
      </c>
      <c r="H145" s="161" t="e">
        <f>#REF!</f>
        <v>#REF!</v>
      </c>
    </row>
    <row r="146" spans="1:8" x14ac:dyDescent="0.3">
      <c r="A146" s="161" t="e">
        <f>#REF!</f>
        <v>#REF!</v>
      </c>
      <c r="B146" s="161" t="e">
        <f>#REF!</f>
        <v>#REF!</v>
      </c>
      <c r="C146" s="161" t="e">
        <f>#REF!</f>
        <v>#REF!</v>
      </c>
      <c r="D146" s="161" t="e">
        <f>#REF!</f>
        <v>#REF!</v>
      </c>
      <c r="E146" s="161" t="e">
        <f>#REF!</f>
        <v>#REF!</v>
      </c>
      <c r="F146" s="161" t="e">
        <f>#REF!</f>
        <v>#REF!</v>
      </c>
      <c r="G146" s="161" t="e">
        <f>#REF!</f>
        <v>#REF!</v>
      </c>
      <c r="H146" s="161" t="e">
        <f>#REF!</f>
        <v>#REF!</v>
      </c>
    </row>
    <row r="147" spans="1:8" x14ac:dyDescent="0.3">
      <c r="A147" s="161" t="e">
        <f>#REF!</f>
        <v>#REF!</v>
      </c>
      <c r="B147" s="161" t="e">
        <f>#REF!</f>
        <v>#REF!</v>
      </c>
      <c r="C147" s="161" t="e">
        <f>#REF!</f>
        <v>#REF!</v>
      </c>
      <c r="D147" s="161" t="e">
        <f>#REF!</f>
        <v>#REF!</v>
      </c>
      <c r="E147" s="161" t="e">
        <f>#REF!</f>
        <v>#REF!</v>
      </c>
      <c r="F147" s="161" t="e">
        <f>#REF!</f>
        <v>#REF!</v>
      </c>
      <c r="G147" s="161" t="e">
        <f>#REF!</f>
        <v>#REF!</v>
      </c>
      <c r="H147" s="161" t="e">
        <f>#REF!</f>
        <v>#REF!</v>
      </c>
    </row>
    <row r="148" spans="1:8" x14ac:dyDescent="0.3">
      <c r="A148" s="161" t="e">
        <f>#REF!</f>
        <v>#REF!</v>
      </c>
      <c r="B148" s="161" t="e">
        <f>#REF!</f>
        <v>#REF!</v>
      </c>
      <c r="C148" s="161" t="e">
        <f>#REF!</f>
        <v>#REF!</v>
      </c>
      <c r="D148" s="161" t="e">
        <f>#REF!</f>
        <v>#REF!</v>
      </c>
      <c r="E148" s="161" t="e">
        <f>#REF!</f>
        <v>#REF!</v>
      </c>
      <c r="F148" s="161" t="e">
        <f>#REF!</f>
        <v>#REF!</v>
      </c>
      <c r="G148" s="161" t="e">
        <f>#REF!</f>
        <v>#REF!</v>
      </c>
      <c r="H148" s="161" t="e">
        <f>#REF!</f>
        <v>#REF!</v>
      </c>
    </row>
    <row r="149" spans="1:8" x14ac:dyDescent="0.3">
      <c r="A149" s="161" t="e">
        <f>#REF!</f>
        <v>#REF!</v>
      </c>
      <c r="B149" s="161" t="e">
        <f>#REF!</f>
        <v>#REF!</v>
      </c>
      <c r="C149" s="161" t="e">
        <f>#REF!</f>
        <v>#REF!</v>
      </c>
      <c r="D149" s="161" t="e">
        <f>#REF!</f>
        <v>#REF!</v>
      </c>
      <c r="E149" s="161" t="e">
        <f>#REF!</f>
        <v>#REF!</v>
      </c>
      <c r="F149" s="161" t="e">
        <f>#REF!</f>
        <v>#REF!</v>
      </c>
      <c r="G149" s="161" t="e">
        <f>#REF!</f>
        <v>#REF!</v>
      </c>
      <c r="H149" s="161" t="e">
        <f>#REF!</f>
        <v>#REF!</v>
      </c>
    </row>
    <row r="150" spans="1:8" x14ac:dyDescent="0.3">
      <c r="A150" s="161" t="e">
        <f>#REF!</f>
        <v>#REF!</v>
      </c>
      <c r="B150" s="161" t="e">
        <f>#REF!</f>
        <v>#REF!</v>
      </c>
      <c r="C150" s="161" t="e">
        <f>#REF!</f>
        <v>#REF!</v>
      </c>
      <c r="D150" s="161" t="e">
        <f>#REF!</f>
        <v>#REF!</v>
      </c>
      <c r="E150" s="161" t="e">
        <f>#REF!</f>
        <v>#REF!</v>
      </c>
      <c r="F150" s="161" t="e">
        <f>#REF!</f>
        <v>#REF!</v>
      </c>
      <c r="G150" s="161" t="e">
        <f>#REF!</f>
        <v>#REF!</v>
      </c>
      <c r="H150" s="161" t="e">
        <f>#REF!</f>
        <v>#REF!</v>
      </c>
    </row>
    <row r="151" spans="1:8" x14ac:dyDescent="0.3">
      <c r="A151" s="161" t="e">
        <f>#REF!</f>
        <v>#REF!</v>
      </c>
      <c r="B151" s="161" t="e">
        <f>#REF!</f>
        <v>#REF!</v>
      </c>
      <c r="C151" s="161" t="e">
        <f>#REF!</f>
        <v>#REF!</v>
      </c>
      <c r="D151" s="161" t="e">
        <f>#REF!</f>
        <v>#REF!</v>
      </c>
      <c r="E151" s="161" t="e">
        <f>#REF!</f>
        <v>#REF!</v>
      </c>
      <c r="F151" s="161" t="e">
        <f>#REF!</f>
        <v>#REF!</v>
      </c>
      <c r="G151" s="161" t="e">
        <f>#REF!</f>
        <v>#REF!</v>
      </c>
      <c r="H151" s="161" t="e">
        <f>#REF!</f>
        <v>#REF!</v>
      </c>
    </row>
    <row r="152" spans="1:8" x14ac:dyDescent="0.3">
      <c r="A152" s="161" t="e">
        <f>#REF!</f>
        <v>#REF!</v>
      </c>
      <c r="B152" s="161" t="e">
        <f>#REF!</f>
        <v>#REF!</v>
      </c>
      <c r="C152" s="161" t="e">
        <f>#REF!</f>
        <v>#REF!</v>
      </c>
      <c r="D152" s="161" t="e">
        <f>#REF!</f>
        <v>#REF!</v>
      </c>
      <c r="E152" s="161" t="e">
        <f>#REF!</f>
        <v>#REF!</v>
      </c>
      <c r="F152" s="161" t="e">
        <f>#REF!</f>
        <v>#REF!</v>
      </c>
      <c r="G152" s="161" t="e">
        <f>#REF!</f>
        <v>#REF!</v>
      </c>
      <c r="H152" s="161" t="e">
        <f>#REF!</f>
        <v>#REF!</v>
      </c>
    </row>
    <row r="153" spans="1:8" x14ac:dyDescent="0.3">
      <c r="A153" s="161" t="e">
        <f>#REF!</f>
        <v>#REF!</v>
      </c>
      <c r="B153" s="161" t="e">
        <f>#REF!</f>
        <v>#REF!</v>
      </c>
      <c r="C153" s="161" t="e">
        <f>#REF!</f>
        <v>#REF!</v>
      </c>
      <c r="D153" s="161" t="e">
        <f>#REF!</f>
        <v>#REF!</v>
      </c>
      <c r="E153" s="161" t="e">
        <f>#REF!</f>
        <v>#REF!</v>
      </c>
      <c r="F153" s="161" t="e">
        <f>#REF!</f>
        <v>#REF!</v>
      </c>
      <c r="G153" s="161" t="e">
        <f>#REF!</f>
        <v>#REF!</v>
      </c>
      <c r="H153" s="161" t="e">
        <f>#REF!</f>
        <v>#REF!</v>
      </c>
    </row>
    <row r="154" spans="1:8" x14ac:dyDescent="0.3">
      <c r="A154" s="161" t="e">
        <f>#REF!</f>
        <v>#REF!</v>
      </c>
      <c r="B154" s="161" t="e">
        <f>#REF!</f>
        <v>#REF!</v>
      </c>
      <c r="C154" s="161" t="e">
        <f>#REF!</f>
        <v>#REF!</v>
      </c>
      <c r="D154" s="161" t="e">
        <f>#REF!</f>
        <v>#REF!</v>
      </c>
      <c r="E154" s="161" t="e">
        <f>#REF!</f>
        <v>#REF!</v>
      </c>
      <c r="F154" s="161" t="e">
        <f>#REF!</f>
        <v>#REF!</v>
      </c>
      <c r="G154" s="161" t="e">
        <f>#REF!</f>
        <v>#REF!</v>
      </c>
      <c r="H154" s="161" t="e">
        <f>#REF!</f>
        <v>#REF!</v>
      </c>
    </row>
    <row r="155" spans="1:8" x14ac:dyDescent="0.3">
      <c r="A155" s="161" t="e">
        <f>#REF!</f>
        <v>#REF!</v>
      </c>
      <c r="B155" s="161" t="e">
        <f>#REF!</f>
        <v>#REF!</v>
      </c>
      <c r="C155" s="161" t="e">
        <f>#REF!</f>
        <v>#REF!</v>
      </c>
      <c r="D155" s="161" t="e">
        <f>#REF!</f>
        <v>#REF!</v>
      </c>
      <c r="E155" s="161" t="e">
        <f>#REF!</f>
        <v>#REF!</v>
      </c>
      <c r="F155" s="161" t="e">
        <f>#REF!</f>
        <v>#REF!</v>
      </c>
      <c r="G155" s="161" t="e">
        <f>#REF!</f>
        <v>#REF!</v>
      </c>
      <c r="H155" s="161" t="e">
        <f>#REF!</f>
        <v>#REF!</v>
      </c>
    </row>
    <row r="156" spans="1:8" x14ac:dyDescent="0.3">
      <c r="A156" s="161" t="e">
        <f>#REF!</f>
        <v>#REF!</v>
      </c>
      <c r="B156" s="161" t="e">
        <f>#REF!</f>
        <v>#REF!</v>
      </c>
      <c r="C156" s="161" t="e">
        <f>#REF!</f>
        <v>#REF!</v>
      </c>
      <c r="D156" s="161" t="e">
        <f>#REF!</f>
        <v>#REF!</v>
      </c>
      <c r="E156" s="161" t="e">
        <f>#REF!</f>
        <v>#REF!</v>
      </c>
      <c r="F156" s="161" t="e">
        <f>#REF!</f>
        <v>#REF!</v>
      </c>
      <c r="G156" s="161" t="e">
        <f>#REF!</f>
        <v>#REF!</v>
      </c>
      <c r="H156" s="161" t="e">
        <f>#REF!</f>
        <v>#REF!</v>
      </c>
    </row>
    <row r="157" spans="1:8" x14ac:dyDescent="0.3">
      <c r="A157" s="161" t="e">
        <f>#REF!</f>
        <v>#REF!</v>
      </c>
      <c r="B157" s="161" t="e">
        <f>#REF!</f>
        <v>#REF!</v>
      </c>
      <c r="C157" s="161" t="e">
        <f>#REF!</f>
        <v>#REF!</v>
      </c>
      <c r="D157" s="161" t="e">
        <f>#REF!</f>
        <v>#REF!</v>
      </c>
      <c r="E157" s="161" t="e">
        <f>#REF!</f>
        <v>#REF!</v>
      </c>
      <c r="F157" s="161" t="e">
        <f>#REF!</f>
        <v>#REF!</v>
      </c>
      <c r="G157" s="161" t="e">
        <f>#REF!</f>
        <v>#REF!</v>
      </c>
      <c r="H157" s="161" t="e">
        <f>#REF!</f>
        <v>#REF!</v>
      </c>
    </row>
    <row r="158" spans="1:8" x14ac:dyDescent="0.3">
      <c r="A158" s="161" t="e">
        <f>#REF!</f>
        <v>#REF!</v>
      </c>
      <c r="B158" s="161" t="e">
        <f>#REF!</f>
        <v>#REF!</v>
      </c>
      <c r="C158" s="161" t="e">
        <f>#REF!</f>
        <v>#REF!</v>
      </c>
      <c r="D158" s="161" t="e">
        <f>#REF!</f>
        <v>#REF!</v>
      </c>
      <c r="E158" s="161" t="e">
        <f>#REF!</f>
        <v>#REF!</v>
      </c>
      <c r="F158" s="161" t="e">
        <f>#REF!</f>
        <v>#REF!</v>
      </c>
      <c r="G158" s="161" t="e">
        <f>#REF!</f>
        <v>#REF!</v>
      </c>
      <c r="H158" s="161" t="e">
        <f>#REF!</f>
        <v>#REF!</v>
      </c>
    </row>
    <row r="159" spans="1:8" x14ac:dyDescent="0.3">
      <c r="A159" s="161" t="e">
        <f>#REF!</f>
        <v>#REF!</v>
      </c>
      <c r="B159" s="161" t="e">
        <f>#REF!</f>
        <v>#REF!</v>
      </c>
      <c r="C159" s="161" t="e">
        <f>#REF!</f>
        <v>#REF!</v>
      </c>
      <c r="D159" s="161" t="e">
        <f>#REF!</f>
        <v>#REF!</v>
      </c>
      <c r="E159" s="161" t="e">
        <f>#REF!</f>
        <v>#REF!</v>
      </c>
      <c r="F159" s="161" t="e">
        <f>#REF!</f>
        <v>#REF!</v>
      </c>
      <c r="G159" s="161" t="e">
        <f>#REF!</f>
        <v>#REF!</v>
      </c>
      <c r="H159" s="161" t="e">
        <f>#REF!</f>
        <v>#REF!</v>
      </c>
    </row>
    <row r="160" spans="1:8" x14ac:dyDescent="0.3">
      <c r="A160" s="161" t="e">
        <f>#REF!</f>
        <v>#REF!</v>
      </c>
      <c r="B160" s="161" t="e">
        <f>#REF!</f>
        <v>#REF!</v>
      </c>
      <c r="C160" s="161" t="e">
        <f>#REF!</f>
        <v>#REF!</v>
      </c>
      <c r="D160" s="161" t="e">
        <f>#REF!</f>
        <v>#REF!</v>
      </c>
      <c r="E160" s="161" t="e">
        <f>#REF!</f>
        <v>#REF!</v>
      </c>
      <c r="F160" s="161" t="e">
        <f>#REF!</f>
        <v>#REF!</v>
      </c>
      <c r="G160" s="161" t="e">
        <f>#REF!</f>
        <v>#REF!</v>
      </c>
      <c r="H160" s="161" t="e">
        <f>#REF!</f>
        <v>#REF!</v>
      </c>
    </row>
    <row r="161" spans="1:8" x14ac:dyDescent="0.3">
      <c r="A161" s="161" t="e">
        <f>#REF!</f>
        <v>#REF!</v>
      </c>
      <c r="B161" s="161" t="e">
        <f>#REF!</f>
        <v>#REF!</v>
      </c>
      <c r="C161" s="161" t="e">
        <f>#REF!</f>
        <v>#REF!</v>
      </c>
      <c r="D161" s="161" t="e">
        <f>#REF!</f>
        <v>#REF!</v>
      </c>
      <c r="E161" s="161" t="e">
        <f>#REF!</f>
        <v>#REF!</v>
      </c>
      <c r="F161" s="161" t="e">
        <f>#REF!</f>
        <v>#REF!</v>
      </c>
      <c r="G161" s="161" t="e">
        <f>#REF!</f>
        <v>#REF!</v>
      </c>
      <c r="H161" s="161" t="e">
        <f>#REF!</f>
        <v>#REF!</v>
      </c>
    </row>
    <row r="162" spans="1:8" x14ac:dyDescent="0.3">
      <c r="A162" s="161" t="e">
        <f>#REF!</f>
        <v>#REF!</v>
      </c>
      <c r="B162" s="161" t="e">
        <f>#REF!</f>
        <v>#REF!</v>
      </c>
      <c r="C162" s="161" t="e">
        <f>#REF!</f>
        <v>#REF!</v>
      </c>
      <c r="D162" s="161" t="e">
        <f>#REF!</f>
        <v>#REF!</v>
      </c>
      <c r="E162" s="161" t="e">
        <f>#REF!</f>
        <v>#REF!</v>
      </c>
      <c r="F162" s="161" t="e">
        <f>#REF!</f>
        <v>#REF!</v>
      </c>
      <c r="G162" s="161" t="e">
        <f>#REF!</f>
        <v>#REF!</v>
      </c>
      <c r="H162" s="161" t="e">
        <f>#REF!</f>
        <v>#REF!</v>
      </c>
    </row>
    <row r="163" spans="1:8" x14ac:dyDescent="0.3">
      <c r="A163" s="161" t="e">
        <f>#REF!</f>
        <v>#REF!</v>
      </c>
      <c r="B163" s="161" t="e">
        <f>#REF!</f>
        <v>#REF!</v>
      </c>
      <c r="C163" s="161" t="e">
        <f>#REF!</f>
        <v>#REF!</v>
      </c>
      <c r="D163" s="161" t="e">
        <f>#REF!</f>
        <v>#REF!</v>
      </c>
      <c r="E163" s="161" t="e">
        <f>#REF!</f>
        <v>#REF!</v>
      </c>
      <c r="F163" s="161" t="e">
        <f>#REF!</f>
        <v>#REF!</v>
      </c>
      <c r="G163" s="161" t="e">
        <f>#REF!</f>
        <v>#REF!</v>
      </c>
      <c r="H163" s="161" t="e">
        <f>#REF!</f>
        <v>#REF!</v>
      </c>
    </row>
    <row r="164" spans="1:8" x14ac:dyDescent="0.3">
      <c r="A164" s="161" t="e">
        <f>#REF!</f>
        <v>#REF!</v>
      </c>
      <c r="B164" s="161" t="e">
        <f>#REF!</f>
        <v>#REF!</v>
      </c>
      <c r="C164" s="161" t="e">
        <f>#REF!</f>
        <v>#REF!</v>
      </c>
      <c r="D164" s="161" t="e">
        <f>#REF!</f>
        <v>#REF!</v>
      </c>
      <c r="E164" s="161" t="e">
        <f>#REF!</f>
        <v>#REF!</v>
      </c>
      <c r="F164" s="161" t="e">
        <f>#REF!</f>
        <v>#REF!</v>
      </c>
      <c r="G164" s="161" t="e">
        <f>#REF!</f>
        <v>#REF!</v>
      </c>
      <c r="H164" s="161" t="e">
        <f>#REF!</f>
        <v>#REF!</v>
      </c>
    </row>
    <row r="165" spans="1:8" x14ac:dyDescent="0.3">
      <c r="A165" s="161" t="e">
        <f>#REF!</f>
        <v>#REF!</v>
      </c>
      <c r="B165" s="161" t="e">
        <f>#REF!</f>
        <v>#REF!</v>
      </c>
      <c r="C165" s="161" t="e">
        <f>#REF!</f>
        <v>#REF!</v>
      </c>
      <c r="D165" s="161" t="e">
        <f>#REF!</f>
        <v>#REF!</v>
      </c>
      <c r="E165" s="161" t="e">
        <f>#REF!</f>
        <v>#REF!</v>
      </c>
      <c r="F165" s="161" t="e">
        <f>#REF!</f>
        <v>#REF!</v>
      </c>
      <c r="G165" s="161" t="e">
        <f>#REF!</f>
        <v>#REF!</v>
      </c>
      <c r="H165" s="161" t="e">
        <f>#REF!</f>
        <v>#REF!</v>
      </c>
    </row>
    <row r="166" spans="1:8" x14ac:dyDescent="0.3">
      <c r="A166" s="161" t="e">
        <f>#REF!</f>
        <v>#REF!</v>
      </c>
      <c r="B166" s="161" t="e">
        <f>#REF!</f>
        <v>#REF!</v>
      </c>
      <c r="C166" s="161" t="e">
        <f>#REF!</f>
        <v>#REF!</v>
      </c>
      <c r="D166" s="161" t="e">
        <f>#REF!</f>
        <v>#REF!</v>
      </c>
      <c r="E166" s="161" t="e">
        <f>#REF!</f>
        <v>#REF!</v>
      </c>
      <c r="F166" s="161" t="e">
        <f>#REF!</f>
        <v>#REF!</v>
      </c>
      <c r="G166" s="161" t="e">
        <f>#REF!</f>
        <v>#REF!</v>
      </c>
      <c r="H166" s="161" t="e">
        <f>#REF!</f>
        <v>#REF!</v>
      </c>
    </row>
    <row r="167" spans="1:8" x14ac:dyDescent="0.3">
      <c r="A167" s="161" t="e">
        <f>#REF!</f>
        <v>#REF!</v>
      </c>
      <c r="B167" s="161" t="e">
        <f>#REF!</f>
        <v>#REF!</v>
      </c>
      <c r="C167" s="161" t="e">
        <f>#REF!</f>
        <v>#REF!</v>
      </c>
      <c r="D167" s="161" t="e">
        <f>#REF!</f>
        <v>#REF!</v>
      </c>
      <c r="E167" s="161" t="e">
        <f>#REF!</f>
        <v>#REF!</v>
      </c>
      <c r="F167" s="161" t="e">
        <f>#REF!</f>
        <v>#REF!</v>
      </c>
      <c r="G167" s="161" t="e">
        <f>#REF!</f>
        <v>#REF!</v>
      </c>
      <c r="H167" s="161" t="e">
        <f>#REF!</f>
        <v>#REF!</v>
      </c>
    </row>
    <row r="168" spans="1:8" x14ac:dyDescent="0.3">
      <c r="A168" s="161" t="e">
        <f>#REF!</f>
        <v>#REF!</v>
      </c>
      <c r="B168" s="161" t="e">
        <f>#REF!</f>
        <v>#REF!</v>
      </c>
      <c r="C168" s="161" t="e">
        <f>#REF!</f>
        <v>#REF!</v>
      </c>
      <c r="D168" s="161" t="e">
        <f>#REF!</f>
        <v>#REF!</v>
      </c>
      <c r="E168" s="161" t="e">
        <f>#REF!</f>
        <v>#REF!</v>
      </c>
      <c r="F168" s="161" t="e">
        <f>#REF!</f>
        <v>#REF!</v>
      </c>
      <c r="G168" s="161" t="e">
        <f>#REF!</f>
        <v>#REF!</v>
      </c>
      <c r="H168" s="161" t="e">
        <f>#REF!</f>
        <v>#REF!</v>
      </c>
    </row>
    <row r="169" spans="1:8" x14ac:dyDescent="0.3">
      <c r="A169" s="161" t="e">
        <f>#REF!</f>
        <v>#REF!</v>
      </c>
      <c r="B169" s="161" t="e">
        <f>#REF!</f>
        <v>#REF!</v>
      </c>
      <c r="C169" s="161" t="e">
        <f>#REF!</f>
        <v>#REF!</v>
      </c>
      <c r="D169" s="161" t="e">
        <f>#REF!</f>
        <v>#REF!</v>
      </c>
      <c r="E169" s="161" t="e">
        <f>#REF!</f>
        <v>#REF!</v>
      </c>
      <c r="F169" s="161" t="e">
        <f>#REF!</f>
        <v>#REF!</v>
      </c>
      <c r="G169" s="161" t="e">
        <f>#REF!</f>
        <v>#REF!</v>
      </c>
      <c r="H169" s="161" t="e">
        <f>#REF!</f>
        <v>#REF!</v>
      </c>
    </row>
    <row r="170" spans="1:8" x14ac:dyDescent="0.3">
      <c r="A170" s="161" t="e">
        <f>#REF!</f>
        <v>#REF!</v>
      </c>
      <c r="B170" s="161" t="e">
        <f>#REF!</f>
        <v>#REF!</v>
      </c>
      <c r="C170" s="161" t="e">
        <f>#REF!</f>
        <v>#REF!</v>
      </c>
      <c r="D170" s="161" t="e">
        <f>#REF!</f>
        <v>#REF!</v>
      </c>
      <c r="E170" s="161" t="e">
        <f>#REF!</f>
        <v>#REF!</v>
      </c>
      <c r="F170" s="161" t="e">
        <f>#REF!</f>
        <v>#REF!</v>
      </c>
      <c r="G170" s="161" t="e">
        <f>#REF!</f>
        <v>#REF!</v>
      </c>
      <c r="H170" s="161" t="e">
        <f>#REF!</f>
        <v>#REF!</v>
      </c>
    </row>
    <row r="171" spans="1:8" x14ac:dyDescent="0.3">
      <c r="A171" s="161" t="e">
        <f>#REF!</f>
        <v>#REF!</v>
      </c>
      <c r="B171" s="161" t="e">
        <f>#REF!</f>
        <v>#REF!</v>
      </c>
      <c r="C171" s="161" t="e">
        <f>#REF!</f>
        <v>#REF!</v>
      </c>
      <c r="D171" s="161" t="e">
        <f>#REF!</f>
        <v>#REF!</v>
      </c>
      <c r="E171" s="161" t="e">
        <f>#REF!</f>
        <v>#REF!</v>
      </c>
      <c r="F171" s="161" t="e">
        <f>#REF!</f>
        <v>#REF!</v>
      </c>
      <c r="G171" s="161" t="e">
        <f>#REF!</f>
        <v>#REF!</v>
      </c>
      <c r="H171" s="161" t="e">
        <f>#REF!</f>
        <v>#REF!</v>
      </c>
    </row>
    <row r="172" spans="1:8" x14ac:dyDescent="0.3">
      <c r="A172" s="161" t="e">
        <f>#REF!</f>
        <v>#REF!</v>
      </c>
      <c r="B172" s="161" t="e">
        <f>#REF!</f>
        <v>#REF!</v>
      </c>
      <c r="C172" s="161" t="e">
        <f>#REF!</f>
        <v>#REF!</v>
      </c>
      <c r="D172" s="161" t="e">
        <f>#REF!</f>
        <v>#REF!</v>
      </c>
      <c r="E172" s="161" t="e">
        <f>#REF!</f>
        <v>#REF!</v>
      </c>
      <c r="F172" s="161" t="e">
        <f>#REF!</f>
        <v>#REF!</v>
      </c>
      <c r="G172" s="161" t="e">
        <f>#REF!</f>
        <v>#REF!</v>
      </c>
      <c r="H172" s="161" t="e">
        <f>#REF!</f>
        <v>#REF!</v>
      </c>
    </row>
    <row r="173" spans="1:8" x14ac:dyDescent="0.3">
      <c r="A173" s="161" t="e">
        <f>#REF!</f>
        <v>#REF!</v>
      </c>
      <c r="B173" s="161" t="e">
        <f>#REF!</f>
        <v>#REF!</v>
      </c>
      <c r="C173" s="161" t="e">
        <f>#REF!</f>
        <v>#REF!</v>
      </c>
      <c r="D173" s="161" t="e">
        <f>#REF!</f>
        <v>#REF!</v>
      </c>
      <c r="E173" s="161" t="e">
        <f>#REF!</f>
        <v>#REF!</v>
      </c>
      <c r="F173" s="161" t="e">
        <f>#REF!</f>
        <v>#REF!</v>
      </c>
      <c r="G173" s="161" t="e">
        <f>#REF!</f>
        <v>#REF!</v>
      </c>
      <c r="H173" s="161" t="e">
        <f>#REF!</f>
        <v>#REF!</v>
      </c>
    </row>
    <row r="174" spans="1:8" x14ac:dyDescent="0.3">
      <c r="A174" s="161" t="e">
        <f>#REF!</f>
        <v>#REF!</v>
      </c>
      <c r="B174" s="161" t="e">
        <f>#REF!</f>
        <v>#REF!</v>
      </c>
      <c r="C174" s="161" t="e">
        <f>#REF!</f>
        <v>#REF!</v>
      </c>
      <c r="D174" s="161" t="e">
        <f>#REF!</f>
        <v>#REF!</v>
      </c>
      <c r="E174" s="161" t="e">
        <f>#REF!</f>
        <v>#REF!</v>
      </c>
      <c r="F174" s="161" t="e">
        <f>#REF!</f>
        <v>#REF!</v>
      </c>
      <c r="G174" s="161" t="e">
        <f>#REF!</f>
        <v>#REF!</v>
      </c>
      <c r="H174" s="161" t="e">
        <f>#REF!</f>
        <v>#REF!</v>
      </c>
    </row>
    <row r="175" spans="1:8" x14ac:dyDescent="0.3">
      <c r="A175" s="161" t="e">
        <f>#REF!</f>
        <v>#REF!</v>
      </c>
      <c r="B175" s="161" t="e">
        <f>#REF!</f>
        <v>#REF!</v>
      </c>
      <c r="C175" s="161" t="e">
        <f>#REF!</f>
        <v>#REF!</v>
      </c>
      <c r="D175" s="161" t="e">
        <f>#REF!</f>
        <v>#REF!</v>
      </c>
      <c r="E175" s="161" t="e">
        <f>#REF!</f>
        <v>#REF!</v>
      </c>
      <c r="F175" s="161" t="e">
        <f>#REF!</f>
        <v>#REF!</v>
      </c>
      <c r="G175" s="161" t="e">
        <f>#REF!</f>
        <v>#REF!</v>
      </c>
      <c r="H175" s="161" t="e">
        <f>#REF!</f>
        <v>#REF!</v>
      </c>
    </row>
    <row r="176" spans="1:8" x14ac:dyDescent="0.3">
      <c r="A176" s="161" t="e">
        <f>#REF!</f>
        <v>#REF!</v>
      </c>
      <c r="B176" s="161" t="e">
        <f>#REF!</f>
        <v>#REF!</v>
      </c>
      <c r="C176" s="161" t="e">
        <f>#REF!</f>
        <v>#REF!</v>
      </c>
      <c r="D176" s="161" t="e">
        <f>#REF!</f>
        <v>#REF!</v>
      </c>
      <c r="E176" s="161" t="e">
        <f>#REF!</f>
        <v>#REF!</v>
      </c>
      <c r="F176" s="161" t="e">
        <f>#REF!</f>
        <v>#REF!</v>
      </c>
      <c r="G176" s="161" t="e">
        <f>#REF!</f>
        <v>#REF!</v>
      </c>
      <c r="H176" s="161" t="e">
        <f>#REF!</f>
        <v>#REF!</v>
      </c>
    </row>
    <row r="177" spans="1:8" x14ac:dyDescent="0.3">
      <c r="A177" s="161" t="e">
        <f>#REF!</f>
        <v>#REF!</v>
      </c>
      <c r="B177" s="161" t="e">
        <f>#REF!</f>
        <v>#REF!</v>
      </c>
      <c r="C177" s="161" t="e">
        <f>#REF!</f>
        <v>#REF!</v>
      </c>
      <c r="D177" s="161" t="e">
        <f>#REF!</f>
        <v>#REF!</v>
      </c>
      <c r="E177" s="161" t="e">
        <f>#REF!</f>
        <v>#REF!</v>
      </c>
      <c r="F177" s="161" t="e">
        <f>#REF!</f>
        <v>#REF!</v>
      </c>
      <c r="G177" s="161" t="e">
        <f>#REF!</f>
        <v>#REF!</v>
      </c>
      <c r="H177" s="161" t="e">
        <f>#REF!</f>
        <v>#REF!</v>
      </c>
    </row>
    <row r="178" spans="1:8" x14ac:dyDescent="0.3">
      <c r="A178" s="161" t="e">
        <f>#REF!</f>
        <v>#REF!</v>
      </c>
      <c r="B178" s="161" t="e">
        <f>#REF!</f>
        <v>#REF!</v>
      </c>
      <c r="C178" s="161" t="e">
        <f>#REF!</f>
        <v>#REF!</v>
      </c>
      <c r="D178" s="161" t="e">
        <f>#REF!</f>
        <v>#REF!</v>
      </c>
      <c r="E178" s="161" t="e">
        <f>#REF!</f>
        <v>#REF!</v>
      </c>
      <c r="F178" s="161" t="e">
        <f>#REF!</f>
        <v>#REF!</v>
      </c>
      <c r="G178" s="161" t="e">
        <f>#REF!</f>
        <v>#REF!</v>
      </c>
      <c r="H178" s="161" t="e">
        <f>#REF!</f>
        <v>#REF!</v>
      </c>
    </row>
    <row r="179" spans="1:8" x14ac:dyDescent="0.3">
      <c r="A179" s="161" t="e">
        <f>#REF!</f>
        <v>#REF!</v>
      </c>
      <c r="B179" s="161" t="e">
        <f>#REF!</f>
        <v>#REF!</v>
      </c>
      <c r="C179" s="161" t="e">
        <f>#REF!</f>
        <v>#REF!</v>
      </c>
      <c r="D179" s="161" t="e">
        <f>#REF!</f>
        <v>#REF!</v>
      </c>
      <c r="E179" s="161" t="e">
        <f>#REF!</f>
        <v>#REF!</v>
      </c>
      <c r="F179" s="161" t="e">
        <f>#REF!</f>
        <v>#REF!</v>
      </c>
      <c r="G179" s="161" t="e">
        <f>#REF!</f>
        <v>#REF!</v>
      </c>
      <c r="H179" s="161" t="e">
        <f>#REF!</f>
        <v>#REF!</v>
      </c>
    </row>
    <row r="180" spans="1:8" x14ac:dyDescent="0.3">
      <c r="A180" s="161" t="e">
        <f>#REF!</f>
        <v>#REF!</v>
      </c>
      <c r="B180" s="161" t="e">
        <f>#REF!</f>
        <v>#REF!</v>
      </c>
      <c r="C180" s="161" t="e">
        <f>#REF!</f>
        <v>#REF!</v>
      </c>
      <c r="D180" s="161" t="e">
        <f>#REF!</f>
        <v>#REF!</v>
      </c>
      <c r="E180" s="161" t="e">
        <f>#REF!</f>
        <v>#REF!</v>
      </c>
      <c r="F180" s="161" t="e">
        <f>#REF!</f>
        <v>#REF!</v>
      </c>
      <c r="G180" s="161" t="e">
        <f>#REF!</f>
        <v>#REF!</v>
      </c>
      <c r="H180" s="161" t="e">
        <f>#REF!</f>
        <v>#REF!</v>
      </c>
    </row>
    <row r="181" spans="1:8" x14ac:dyDescent="0.3">
      <c r="A181" s="161" t="e">
        <f>#REF!</f>
        <v>#REF!</v>
      </c>
      <c r="B181" s="161" t="e">
        <f>#REF!</f>
        <v>#REF!</v>
      </c>
      <c r="C181" s="161" t="e">
        <f>#REF!</f>
        <v>#REF!</v>
      </c>
      <c r="D181" s="161" t="e">
        <f>#REF!</f>
        <v>#REF!</v>
      </c>
      <c r="E181" s="161" t="e">
        <f>#REF!</f>
        <v>#REF!</v>
      </c>
      <c r="F181" s="161" t="e">
        <f>#REF!</f>
        <v>#REF!</v>
      </c>
      <c r="G181" s="161" t="e">
        <f>#REF!</f>
        <v>#REF!</v>
      </c>
      <c r="H181" s="161" t="e">
        <f>#REF!</f>
        <v>#REF!</v>
      </c>
    </row>
    <row r="182" spans="1:8" x14ac:dyDescent="0.3">
      <c r="A182" s="161" t="e">
        <f>#REF!</f>
        <v>#REF!</v>
      </c>
      <c r="B182" s="161" t="e">
        <f>#REF!</f>
        <v>#REF!</v>
      </c>
      <c r="C182" s="161" t="e">
        <f>#REF!</f>
        <v>#REF!</v>
      </c>
      <c r="D182" s="161" t="e">
        <f>#REF!</f>
        <v>#REF!</v>
      </c>
      <c r="E182" s="161" t="e">
        <f>#REF!</f>
        <v>#REF!</v>
      </c>
      <c r="F182" s="161" t="e">
        <f>#REF!</f>
        <v>#REF!</v>
      </c>
      <c r="G182" s="161" t="e">
        <f>#REF!</f>
        <v>#REF!</v>
      </c>
      <c r="H182" s="161" t="e">
        <f>#REF!</f>
        <v>#REF!</v>
      </c>
    </row>
    <row r="183" spans="1:8" x14ac:dyDescent="0.3">
      <c r="A183" s="161" t="e">
        <f>#REF!</f>
        <v>#REF!</v>
      </c>
      <c r="B183" s="161" t="e">
        <f>#REF!</f>
        <v>#REF!</v>
      </c>
      <c r="C183" s="161" t="e">
        <f>#REF!</f>
        <v>#REF!</v>
      </c>
      <c r="D183" s="161" t="e">
        <f>#REF!</f>
        <v>#REF!</v>
      </c>
      <c r="E183" s="161" t="e">
        <f>#REF!</f>
        <v>#REF!</v>
      </c>
      <c r="F183" s="161" t="e">
        <f>#REF!</f>
        <v>#REF!</v>
      </c>
      <c r="G183" s="161" t="e">
        <f>#REF!</f>
        <v>#REF!</v>
      </c>
      <c r="H183" s="161" t="e">
        <f>#REF!</f>
        <v>#REF!</v>
      </c>
    </row>
    <row r="184" spans="1:8" x14ac:dyDescent="0.3">
      <c r="A184" s="161" t="e">
        <f>#REF!</f>
        <v>#REF!</v>
      </c>
      <c r="B184" s="161" t="e">
        <f>#REF!</f>
        <v>#REF!</v>
      </c>
      <c r="C184" s="161" t="e">
        <f>#REF!</f>
        <v>#REF!</v>
      </c>
      <c r="D184" s="161" t="e">
        <f>#REF!</f>
        <v>#REF!</v>
      </c>
      <c r="E184" s="161" t="e">
        <f>#REF!</f>
        <v>#REF!</v>
      </c>
      <c r="F184" s="161" t="e">
        <f>#REF!</f>
        <v>#REF!</v>
      </c>
      <c r="G184" s="161" t="e">
        <f>#REF!</f>
        <v>#REF!</v>
      </c>
      <c r="H184" s="161" t="e">
        <f>#REF!</f>
        <v>#REF!</v>
      </c>
    </row>
    <row r="185" spans="1:8" x14ac:dyDescent="0.3">
      <c r="A185" s="161" t="e">
        <f>#REF!</f>
        <v>#REF!</v>
      </c>
      <c r="B185" s="161" t="e">
        <f>#REF!</f>
        <v>#REF!</v>
      </c>
      <c r="C185" s="161" t="e">
        <f>#REF!</f>
        <v>#REF!</v>
      </c>
      <c r="D185" s="161" t="e">
        <f>#REF!</f>
        <v>#REF!</v>
      </c>
      <c r="E185" s="161" t="e">
        <f>#REF!</f>
        <v>#REF!</v>
      </c>
      <c r="F185" s="161" t="e">
        <f>#REF!</f>
        <v>#REF!</v>
      </c>
      <c r="G185" s="161" t="e">
        <f>#REF!</f>
        <v>#REF!</v>
      </c>
      <c r="H185" s="161" t="e">
        <f>#REF!</f>
        <v>#REF!</v>
      </c>
    </row>
    <row r="186" spans="1:8" x14ac:dyDescent="0.3">
      <c r="A186" s="161" t="e">
        <f>#REF!</f>
        <v>#REF!</v>
      </c>
      <c r="B186" s="161" t="e">
        <f>#REF!</f>
        <v>#REF!</v>
      </c>
      <c r="C186" s="161" t="e">
        <f>#REF!</f>
        <v>#REF!</v>
      </c>
      <c r="D186" s="161" t="e">
        <f>#REF!</f>
        <v>#REF!</v>
      </c>
      <c r="E186" s="161" t="e">
        <f>#REF!</f>
        <v>#REF!</v>
      </c>
      <c r="F186" s="161" t="e">
        <f>#REF!</f>
        <v>#REF!</v>
      </c>
      <c r="G186" s="161" t="e">
        <f>#REF!</f>
        <v>#REF!</v>
      </c>
      <c r="H186" s="161" t="e">
        <f>#REF!</f>
        <v>#REF!</v>
      </c>
    </row>
    <row r="187" spans="1:8" x14ac:dyDescent="0.3">
      <c r="A187" s="161" t="e">
        <f>#REF!</f>
        <v>#REF!</v>
      </c>
      <c r="B187" s="161" t="e">
        <f>#REF!</f>
        <v>#REF!</v>
      </c>
      <c r="C187" s="161" t="e">
        <f>#REF!</f>
        <v>#REF!</v>
      </c>
      <c r="D187" s="161" t="e">
        <f>#REF!</f>
        <v>#REF!</v>
      </c>
      <c r="E187" s="161" t="e">
        <f>#REF!</f>
        <v>#REF!</v>
      </c>
      <c r="F187" s="161" t="e">
        <f>#REF!</f>
        <v>#REF!</v>
      </c>
      <c r="G187" s="161" t="e">
        <f>#REF!</f>
        <v>#REF!</v>
      </c>
      <c r="H187" s="161" t="e">
        <f>#REF!</f>
        <v>#REF!</v>
      </c>
    </row>
    <row r="188" spans="1:8" x14ac:dyDescent="0.3">
      <c r="A188" s="161" t="e">
        <f>#REF!</f>
        <v>#REF!</v>
      </c>
      <c r="B188" s="161" t="e">
        <f>#REF!</f>
        <v>#REF!</v>
      </c>
      <c r="C188" s="161" t="e">
        <f>#REF!</f>
        <v>#REF!</v>
      </c>
      <c r="D188" s="161" t="e">
        <f>#REF!</f>
        <v>#REF!</v>
      </c>
      <c r="E188" s="161" t="e">
        <f>#REF!</f>
        <v>#REF!</v>
      </c>
      <c r="F188" s="161" t="e">
        <f>#REF!</f>
        <v>#REF!</v>
      </c>
      <c r="G188" s="161" t="e">
        <f>#REF!</f>
        <v>#REF!</v>
      </c>
      <c r="H188" s="161" t="e">
        <f>#REF!</f>
        <v>#REF!</v>
      </c>
    </row>
    <row r="189" spans="1:8" x14ac:dyDescent="0.3">
      <c r="A189" s="161" t="e">
        <f>#REF!</f>
        <v>#REF!</v>
      </c>
      <c r="B189" s="161" t="e">
        <f>#REF!</f>
        <v>#REF!</v>
      </c>
      <c r="C189" s="161" t="e">
        <f>#REF!</f>
        <v>#REF!</v>
      </c>
      <c r="D189" s="161" t="e">
        <f>#REF!</f>
        <v>#REF!</v>
      </c>
      <c r="E189" s="161" t="e">
        <f>#REF!</f>
        <v>#REF!</v>
      </c>
      <c r="F189" s="161" t="e">
        <f>#REF!</f>
        <v>#REF!</v>
      </c>
      <c r="G189" s="161" t="e">
        <f>#REF!</f>
        <v>#REF!</v>
      </c>
      <c r="H189" s="161" t="e">
        <f>#REF!</f>
        <v>#REF!</v>
      </c>
    </row>
    <row r="190" spans="1:8" x14ac:dyDescent="0.3">
      <c r="A190" s="161" t="e">
        <f>#REF!</f>
        <v>#REF!</v>
      </c>
      <c r="B190" s="161" t="e">
        <f>#REF!</f>
        <v>#REF!</v>
      </c>
      <c r="C190" s="161" t="e">
        <f>#REF!</f>
        <v>#REF!</v>
      </c>
      <c r="D190" s="161" t="e">
        <f>#REF!</f>
        <v>#REF!</v>
      </c>
      <c r="E190" s="161" t="e">
        <f>#REF!</f>
        <v>#REF!</v>
      </c>
      <c r="F190" s="161" t="e">
        <f>#REF!</f>
        <v>#REF!</v>
      </c>
      <c r="G190" s="161" t="e">
        <f>#REF!</f>
        <v>#REF!</v>
      </c>
      <c r="H190" s="161" t="e">
        <f>#REF!</f>
        <v>#REF!</v>
      </c>
    </row>
    <row r="191" spans="1:8" x14ac:dyDescent="0.3">
      <c r="A191" s="161" t="e">
        <f>#REF!</f>
        <v>#REF!</v>
      </c>
      <c r="B191" s="161" t="e">
        <f>#REF!</f>
        <v>#REF!</v>
      </c>
      <c r="C191" s="161" t="e">
        <f>#REF!</f>
        <v>#REF!</v>
      </c>
      <c r="D191" s="161" t="e">
        <f>#REF!</f>
        <v>#REF!</v>
      </c>
      <c r="E191" s="161" t="e">
        <f>#REF!</f>
        <v>#REF!</v>
      </c>
      <c r="F191" s="161" t="e">
        <f>#REF!</f>
        <v>#REF!</v>
      </c>
      <c r="G191" s="161" t="e">
        <f>#REF!</f>
        <v>#REF!</v>
      </c>
      <c r="H191" s="161" t="e">
        <f>#REF!</f>
        <v>#REF!</v>
      </c>
    </row>
    <row r="192" spans="1:8" x14ac:dyDescent="0.3">
      <c r="A192" s="161" t="e">
        <f>#REF!</f>
        <v>#REF!</v>
      </c>
      <c r="B192" s="161" t="e">
        <f>#REF!</f>
        <v>#REF!</v>
      </c>
      <c r="C192" s="161" t="e">
        <f>#REF!</f>
        <v>#REF!</v>
      </c>
      <c r="D192" s="161" t="e">
        <f>#REF!</f>
        <v>#REF!</v>
      </c>
      <c r="E192" s="161" t="e">
        <f>#REF!</f>
        <v>#REF!</v>
      </c>
      <c r="F192" s="161" t="e">
        <f>#REF!</f>
        <v>#REF!</v>
      </c>
      <c r="G192" s="161" t="e">
        <f>#REF!</f>
        <v>#REF!</v>
      </c>
      <c r="H192" s="161" t="e">
        <f>#REF!</f>
        <v>#REF!</v>
      </c>
    </row>
    <row r="193" spans="1:8" x14ac:dyDescent="0.3">
      <c r="A193" s="161" t="e">
        <f>#REF!</f>
        <v>#REF!</v>
      </c>
      <c r="B193" s="161" t="e">
        <f>#REF!</f>
        <v>#REF!</v>
      </c>
      <c r="C193" s="161" t="e">
        <f>#REF!</f>
        <v>#REF!</v>
      </c>
      <c r="D193" s="161" t="e">
        <f>#REF!</f>
        <v>#REF!</v>
      </c>
      <c r="E193" s="161" t="e">
        <f>#REF!</f>
        <v>#REF!</v>
      </c>
      <c r="F193" s="161" t="e">
        <f>#REF!</f>
        <v>#REF!</v>
      </c>
      <c r="G193" s="161" t="e">
        <f>#REF!</f>
        <v>#REF!</v>
      </c>
      <c r="H193" s="161" t="e">
        <f>#REF!</f>
        <v>#REF!</v>
      </c>
    </row>
    <row r="194" spans="1:8" x14ac:dyDescent="0.3">
      <c r="A194" s="161" t="e">
        <f>#REF!</f>
        <v>#REF!</v>
      </c>
      <c r="B194" s="161" t="e">
        <f>#REF!</f>
        <v>#REF!</v>
      </c>
      <c r="C194" s="161" t="e">
        <f>#REF!</f>
        <v>#REF!</v>
      </c>
      <c r="D194" s="161" t="e">
        <f>#REF!</f>
        <v>#REF!</v>
      </c>
      <c r="E194" s="161" t="e">
        <f>#REF!</f>
        <v>#REF!</v>
      </c>
      <c r="F194" s="161" t="e">
        <f>#REF!</f>
        <v>#REF!</v>
      </c>
      <c r="G194" s="161" t="e">
        <f>#REF!</f>
        <v>#REF!</v>
      </c>
      <c r="H194" s="161" t="e">
        <f>#REF!</f>
        <v>#REF!</v>
      </c>
    </row>
    <row r="195" spans="1:8" x14ac:dyDescent="0.3">
      <c r="A195" s="161" t="e">
        <f>#REF!</f>
        <v>#REF!</v>
      </c>
      <c r="B195" s="161" t="e">
        <f>#REF!</f>
        <v>#REF!</v>
      </c>
      <c r="C195" s="161" t="e">
        <f>#REF!</f>
        <v>#REF!</v>
      </c>
      <c r="D195" s="161" t="e">
        <f>#REF!</f>
        <v>#REF!</v>
      </c>
      <c r="E195" s="161" t="e">
        <f>#REF!</f>
        <v>#REF!</v>
      </c>
      <c r="F195" s="161" t="e">
        <f>#REF!</f>
        <v>#REF!</v>
      </c>
      <c r="G195" s="161" t="e">
        <f>#REF!</f>
        <v>#REF!</v>
      </c>
      <c r="H195" s="161" t="e">
        <f>#REF!</f>
        <v>#REF!</v>
      </c>
    </row>
    <row r="196" spans="1:8" x14ac:dyDescent="0.3">
      <c r="A196" s="161" t="e">
        <f>#REF!</f>
        <v>#REF!</v>
      </c>
      <c r="B196" s="161" t="e">
        <f>#REF!</f>
        <v>#REF!</v>
      </c>
      <c r="C196" s="161" t="e">
        <f>#REF!</f>
        <v>#REF!</v>
      </c>
      <c r="D196" s="161" t="e">
        <f>#REF!</f>
        <v>#REF!</v>
      </c>
      <c r="E196" s="161" t="e">
        <f>#REF!</f>
        <v>#REF!</v>
      </c>
      <c r="F196" s="161" t="e">
        <f>#REF!</f>
        <v>#REF!</v>
      </c>
      <c r="G196" s="161" t="e">
        <f>#REF!</f>
        <v>#REF!</v>
      </c>
      <c r="H196" s="161" t="e">
        <f>#REF!</f>
        <v>#REF!</v>
      </c>
    </row>
    <row r="197" spans="1:8" x14ac:dyDescent="0.3">
      <c r="A197" s="161" t="e">
        <f>#REF!</f>
        <v>#REF!</v>
      </c>
      <c r="B197" s="161" t="e">
        <f>#REF!</f>
        <v>#REF!</v>
      </c>
      <c r="C197" s="161" t="e">
        <f>#REF!</f>
        <v>#REF!</v>
      </c>
      <c r="D197" s="161" t="e">
        <f>#REF!</f>
        <v>#REF!</v>
      </c>
      <c r="E197" s="161" t="e">
        <f>#REF!</f>
        <v>#REF!</v>
      </c>
      <c r="F197" s="161" t="e">
        <f>#REF!</f>
        <v>#REF!</v>
      </c>
      <c r="G197" s="161" t="e">
        <f>#REF!</f>
        <v>#REF!</v>
      </c>
      <c r="H197" s="161" t="e">
        <f>#REF!</f>
        <v>#REF!</v>
      </c>
    </row>
    <row r="198" spans="1:8" x14ac:dyDescent="0.3">
      <c r="A198" s="161" t="e">
        <f>#REF!</f>
        <v>#REF!</v>
      </c>
      <c r="B198" s="161" t="e">
        <f>#REF!</f>
        <v>#REF!</v>
      </c>
      <c r="C198" s="161" t="e">
        <f>#REF!</f>
        <v>#REF!</v>
      </c>
      <c r="D198" s="161" t="e">
        <f>#REF!</f>
        <v>#REF!</v>
      </c>
      <c r="E198" s="161" t="e">
        <f>#REF!</f>
        <v>#REF!</v>
      </c>
      <c r="F198" s="161" t="e">
        <f>#REF!</f>
        <v>#REF!</v>
      </c>
      <c r="G198" s="161" t="e">
        <f>#REF!</f>
        <v>#REF!</v>
      </c>
      <c r="H198" s="161" t="e">
        <f>#REF!</f>
        <v>#REF!</v>
      </c>
    </row>
    <row r="199" spans="1:8" x14ac:dyDescent="0.3">
      <c r="A199" s="161" t="e">
        <f>#REF!</f>
        <v>#REF!</v>
      </c>
      <c r="B199" s="161" t="e">
        <f>#REF!</f>
        <v>#REF!</v>
      </c>
      <c r="C199" s="161" t="e">
        <f>#REF!</f>
        <v>#REF!</v>
      </c>
      <c r="D199" s="161" t="e">
        <f>#REF!</f>
        <v>#REF!</v>
      </c>
      <c r="E199" s="161" t="e">
        <f>#REF!</f>
        <v>#REF!</v>
      </c>
      <c r="F199" s="161" t="e">
        <f>#REF!</f>
        <v>#REF!</v>
      </c>
      <c r="G199" s="161" t="e">
        <f>#REF!</f>
        <v>#REF!</v>
      </c>
      <c r="H199" s="161" t="e">
        <f>#REF!</f>
        <v>#REF!</v>
      </c>
    </row>
    <row r="200" spans="1:8" x14ac:dyDescent="0.3">
      <c r="A200" s="161" t="e">
        <f>#REF!</f>
        <v>#REF!</v>
      </c>
      <c r="B200" s="161" t="e">
        <f>#REF!</f>
        <v>#REF!</v>
      </c>
      <c r="C200" s="161" t="e">
        <f>#REF!</f>
        <v>#REF!</v>
      </c>
      <c r="D200" s="161" t="e">
        <f>#REF!</f>
        <v>#REF!</v>
      </c>
      <c r="E200" s="161" t="e">
        <f>#REF!</f>
        <v>#REF!</v>
      </c>
      <c r="F200" s="161" t="e">
        <f>#REF!</f>
        <v>#REF!</v>
      </c>
      <c r="G200" s="161" t="e">
        <f>#REF!</f>
        <v>#REF!</v>
      </c>
      <c r="H200" s="161" t="e">
        <f>#REF!</f>
        <v>#REF!</v>
      </c>
    </row>
    <row r="201" spans="1:8" x14ac:dyDescent="0.3">
      <c r="A201" s="161" t="e">
        <f>#REF!</f>
        <v>#REF!</v>
      </c>
      <c r="B201" s="161" t="e">
        <f>#REF!</f>
        <v>#REF!</v>
      </c>
      <c r="C201" s="161" t="e">
        <f>#REF!</f>
        <v>#REF!</v>
      </c>
      <c r="D201" s="161" t="e">
        <f>#REF!</f>
        <v>#REF!</v>
      </c>
      <c r="E201" s="161" t="e">
        <f>#REF!</f>
        <v>#REF!</v>
      </c>
      <c r="F201" s="161" t="e">
        <f>#REF!</f>
        <v>#REF!</v>
      </c>
      <c r="G201" s="161" t="e">
        <f>#REF!</f>
        <v>#REF!</v>
      </c>
      <c r="H201" s="161" t="e">
        <f>#REF!</f>
        <v>#REF!</v>
      </c>
    </row>
    <row r="202" spans="1:8" x14ac:dyDescent="0.3">
      <c r="A202" s="161" t="e">
        <f>#REF!</f>
        <v>#REF!</v>
      </c>
      <c r="B202" s="161" t="e">
        <f>#REF!</f>
        <v>#REF!</v>
      </c>
      <c r="C202" s="161" t="e">
        <f>#REF!</f>
        <v>#REF!</v>
      </c>
      <c r="D202" s="161" t="e">
        <f>#REF!</f>
        <v>#REF!</v>
      </c>
      <c r="E202" s="161" t="e">
        <f>#REF!</f>
        <v>#REF!</v>
      </c>
      <c r="F202" s="161" t="e">
        <f>#REF!</f>
        <v>#REF!</v>
      </c>
      <c r="G202" s="161" t="e">
        <f>#REF!</f>
        <v>#REF!</v>
      </c>
      <c r="H202" s="161" t="e">
        <f>#REF!</f>
        <v>#REF!</v>
      </c>
    </row>
    <row r="203" spans="1:8" x14ac:dyDescent="0.3">
      <c r="A203" s="161" t="e">
        <f>#REF!</f>
        <v>#REF!</v>
      </c>
      <c r="B203" s="161" t="e">
        <f>#REF!</f>
        <v>#REF!</v>
      </c>
      <c r="C203" s="161" t="e">
        <f>#REF!</f>
        <v>#REF!</v>
      </c>
      <c r="D203" s="161" t="e">
        <f>#REF!</f>
        <v>#REF!</v>
      </c>
      <c r="E203" s="161" t="e">
        <f>#REF!</f>
        <v>#REF!</v>
      </c>
      <c r="F203" s="161" t="e">
        <f>#REF!</f>
        <v>#REF!</v>
      </c>
      <c r="G203" s="161" t="e">
        <f>#REF!</f>
        <v>#REF!</v>
      </c>
      <c r="H203" s="161" t="e">
        <f>#REF!</f>
        <v>#REF!</v>
      </c>
    </row>
    <row r="204" spans="1:8" x14ac:dyDescent="0.3">
      <c r="A204" s="161" t="e">
        <f>#REF!</f>
        <v>#REF!</v>
      </c>
      <c r="B204" s="161" t="e">
        <f>#REF!</f>
        <v>#REF!</v>
      </c>
      <c r="C204" s="161" t="e">
        <f>#REF!</f>
        <v>#REF!</v>
      </c>
      <c r="D204" s="161" t="e">
        <f>#REF!</f>
        <v>#REF!</v>
      </c>
      <c r="E204" s="161" t="e">
        <f>#REF!</f>
        <v>#REF!</v>
      </c>
      <c r="F204" s="161" t="e">
        <f>#REF!</f>
        <v>#REF!</v>
      </c>
      <c r="G204" s="161" t="e">
        <f>#REF!</f>
        <v>#REF!</v>
      </c>
      <c r="H204" s="161" t="e">
        <f>#REF!</f>
        <v>#REF!</v>
      </c>
    </row>
    <row r="205" spans="1:8" x14ac:dyDescent="0.3">
      <c r="A205" s="161" t="e">
        <f>#REF!</f>
        <v>#REF!</v>
      </c>
      <c r="B205" s="161" t="e">
        <f>#REF!</f>
        <v>#REF!</v>
      </c>
      <c r="C205" s="161" t="e">
        <f>#REF!</f>
        <v>#REF!</v>
      </c>
      <c r="D205" s="161" t="e">
        <f>#REF!</f>
        <v>#REF!</v>
      </c>
      <c r="E205" s="161" t="e">
        <f>#REF!</f>
        <v>#REF!</v>
      </c>
      <c r="F205" s="161" t="e">
        <f>#REF!</f>
        <v>#REF!</v>
      </c>
      <c r="G205" s="161" t="e">
        <f>#REF!</f>
        <v>#REF!</v>
      </c>
      <c r="H205" s="161" t="e">
        <f>#REF!</f>
        <v>#REF!</v>
      </c>
    </row>
    <row r="206" spans="1:8" x14ac:dyDescent="0.3">
      <c r="A206" s="161" t="e">
        <f>#REF!</f>
        <v>#REF!</v>
      </c>
      <c r="B206" s="161" t="e">
        <f>#REF!</f>
        <v>#REF!</v>
      </c>
      <c r="C206" s="161" t="e">
        <f>#REF!</f>
        <v>#REF!</v>
      </c>
      <c r="D206" s="161" t="e">
        <f>#REF!</f>
        <v>#REF!</v>
      </c>
      <c r="E206" s="161" t="e">
        <f>#REF!</f>
        <v>#REF!</v>
      </c>
      <c r="F206" s="161" t="e">
        <f>#REF!</f>
        <v>#REF!</v>
      </c>
      <c r="G206" s="161" t="e">
        <f>#REF!</f>
        <v>#REF!</v>
      </c>
      <c r="H206" s="161" t="e">
        <f>#REF!</f>
        <v>#REF!</v>
      </c>
    </row>
    <row r="207" spans="1:8" x14ac:dyDescent="0.3">
      <c r="A207" s="161" t="e">
        <f>#REF!</f>
        <v>#REF!</v>
      </c>
      <c r="B207" s="161" t="e">
        <f>#REF!</f>
        <v>#REF!</v>
      </c>
      <c r="C207" s="161" t="e">
        <f>#REF!</f>
        <v>#REF!</v>
      </c>
      <c r="D207" s="161" t="e">
        <f>#REF!</f>
        <v>#REF!</v>
      </c>
      <c r="E207" s="161" t="e">
        <f>#REF!</f>
        <v>#REF!</v>
      </c>
      <c r="F207" s="161" t="e">
        <f>#REF!</f>
        <v>#REF!</v>
      </c>
      <c r="G207" s="161" t="e">
        <f>#REF!</f>
        <v>#REF!</v>
      </c>
      <c r="H207" s="161" t="e">
        <f>#REF!</f>
        <v>#REF!</v>
      </c>
    </row>
    <row r="208" spans="1:8" x14ac:dyDescent="0.3">
      <c r="A208" s="161" t="e">
        <f>#REF!</f>
        <v>#REF!</v>
      </c>
      <c r="B208" s="161" t="e">
        <f>#REF!</f>
        <v>#REF!</v>
      </c>
      <c r="C208" s="161" t="e">
        <f>#REF!</f>
        <v>#REF!</v>
      </c>
      <c r="D208" s="161" t="e">
        <f>#REF!</f>
        <v>#REF!</v>
      </c>
      <c r="E208" s="161" t="e">
        <f>#REF!</f>
        <v>#REF!</v>
      </c>
      <c r="F208" s="161" t="e">
        <f>#REF!</f>
        <v>#REF!</v>
      </c>
      <c r="G208" s="161" t="e">
        <f>#REF!</f>
        <v>#REF!</v>
      </c>
      <c r="H208" s="161" t="e">
        <f>#REF!</f>
        <v>#REF!</v>
      </c>
    </row>
  </sheetData>
  <pageMargins left="0.5" right="0.5" top="0.75" bottom="0.75" header="0.3" footer="0.3"/>
  <pageSetup scale="59" orientation="landscape" r:id="rId1"/>
</worksheet>
</file>

<file path=xl/worksheets/sheet2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3333CC"/>
    <pageSetUpPr fitToPage="1"/>
  </sheetPr>
  <dimension ref="A1:R49"/>
  <sheetViews>
    <sheetView showGridLines="0" workbookViewId="0"/>
  </sheetViews>
  <sheetFormatPr defaultColWidth="9.109375" defaultRowHeight="14.4" x14ac:dyDescent="0.3"/>
  <cols>
    <col min="1" max="1" width="10.5546875" style="161" bestFit="1" customWidth="1"/>
    <col min="2" max="2" width="25.5546875" style="161" customWidth="1"/>
    <col min="3" max="3" width="37.44140625" style="161" bestFit="1" customWidth="1"/>
    <col min="4" max="4" width="13.6640625" style="161" customWidth="1"/>
    <col min="5" max="5" width="13.88671875" style="161" bestFit="1" customWidth="1"/>
    <col min="6" max="6" width="9.6640625" style="161" customWidth="1"/>
    <col min="7" max="7" width="10.44140625" style="161" bestFit="1" customWidth="1"/>
    <col min="8" max="8" width="19.44140625" style="16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11.5546875" style="161" customWidth="1"/>
    <col min="13" max="13" width="18.5546875" style="161" customWidth="1"/>
    <col min="14" max="14" width="15.5546875" style="161" customWidth="1"/>
    <col min="15" max="16384" width="9.109375" style="161"/>
  </cols>
  <sheetData>
    <row r="1" spans="1:14" x14ac:dyDescent="0.3">
      <c r="A1" s="693" t="s">
        <v>523</v>
      </c>
      <c r="B1" s="161" t="s">
        <v>524</v>
      </c>
      <c r="J1" s="693" t="s">
        <v>528</v>
      </c>
      <c r="K1" s="163">
        <v>81</v>
      </c>
      <c r="M1" s="693" t="s">
        <v>531</v>
      </c>
      <c r="N1" s="336">
        <f>E14+I37+J45+I49</f>
        <v>54.725678000000002</v>
      </c>
    </row>
    <row r="2" spans="1:14" x14ac:dyDescent="0.3">
      <c r="A2" s="693" t="s">
        <v>532</v>
      </c>
      <c r="B2" s="161" t="s">
        <v>1434</v>
      </c>
      <c r="M2" s="693" t="s">
        <v>533</v>
      </c>
      <c r="N2" s="165">
        <v>1</v>
      </c>
    </row>
    <row r="3" spans="1:14" x14ac:dyDescent="0.3">
      <c r="A3" s="693" t="s">
        <v>534</v>
      </c>
      <c r="B3" s="161" t="s">
        <v>337</v>
      </c>
      <c r="J3" s="693" t="s">
        <v>536</v>
      </c>
    </row>
    <row r="4" spans="1:14" x14ac:dyDescent="0.3">
      <c r="A4" s="693" t="s">
        <v>537</v>
      </c>
      <c r="B4" s="166" t="s">
        <v>336</v>
      </c>
      <c r="J4" s="693" t="s">
        <v>538</v>
      </c>
      <c r="M4" s="693" t="s">
        <v>539</v>
      </c>
      <c r="N4" s="336">
        <f>N1*N2</f>
        <v>54.725678000000002</v>
      </c>
    </row>
    <row r="5" spans="1:14" x14ac:dyDescent="0.3">
      <c r="A5" s="693" t="s">
        <v>540</v>
      </c>
      <c r="B5" s="161" t="s">
        <v>36</v>
      </c>
      <c r="J5" s="693" t="s">
        <v>541</v>
      </c>
    </row>
    <row r="6" spans="1:14" x14ac:dyDescent="0.3">
      <c r="A6" s="693" t="s">
        <v>542</v>
      </c>
      <c r="B6" s="161" t="s">
        <v>2352</v>
      </c>
    </row>
    <row r="8" spans="1:14" x14ac:dyDescent="0.3">
      <c r="A8" s="694" t="s">
        <v>544</v>
      </c>
      <c r="B8" s="694" t="s">
        <v>545</v>
      </c>
      <c r="C8" s="694" t="s">
        <v>546</v>
      </c>
      <c r="D8" s="694" t="s">
        <v>28</v>
      </c>
      <c r="E8" s="694" t="s">
        <v>547</v>
      </c>
    </row>
    <row r="9" spans="1:14" x14ac:dyDescent="0.3">
      <c r="A9" s="168">
        <v>10</v>
      </c>
      <c r="B9" s="166" t="s">
        <v>339</v>
      </c>
      <c r="C9" s="323">
        <f>'MS 03001'!N1</f>
        <v>4.4106160000000001</v>
      </c>
      <c r="D9" s="168">
        <v>1</v>
      </c>
      <c r="E9" s="323">
        <f>C9*D9</f>
        <v>4.4106160000000001</v>
      </c>
    </row>
    <row r="10" spans="1:14" x14ac:dyDescent="0.3">
      <c r="A10" s="168">
        <v>20</v>
      </c>
      <c r="B10" s="168" t="s">
        <v>341</v>
      </c>
      <c r="C10" s="323">
        <f>'MS 03002'!N4</f>
        <v>1.760791</v>
      </c>
      <c r="D10" s="168">
        <v>2</v>
      </c>
      <c r="E10" s="323">
        <f>C10*D10</f>
        <v>3.521582</v>
      </c>
    </row>
    <row r="11" spans="1:14" x14ac:dyDescent="0.3">
      <c r="A11" s="168">
        <v>30</v>
      </c>
      <c r="B11" s="168" t="s">
        <v>343</v>
      </c>
      <c r="C11" s="323">
        <f>'MS 03003'!N4</f>
        <v>1.7295400000000001</v>
      </c>
      <c r="D11" s="168">
        <v>1</v>
      </c>
      <c r="E11" s="323">
        <f>C11*D11</f>
        <v>1.7295400000000001</v>
      </c>
    </row>
    <row r="12" spans="1:14" x14ac:dyDescent="0.3">
      <c r="A12" s="168">
        <v>40</v>
      </c>
      <c r="B12" s="168" t="s">
        <v>345</v>
      </c>
      <c r="C12" s="323">
        <f>'MS 03004'!N4</f>
        <v>5.4196800000000005</v>
      </c>
      <c r="D12" s="168">
        <v>1</v>
      </c>
      <c r="E12" s="323">
        <f>C12*D12</f>
        <v>5.4196800000000005</v>
      </c>
    </row>
    <row r="13" spans="1:14" x14ac:dyDescent="0.3">
      <c r="A13" s="168">
        <v>50</v>
      </c>
      <c r="B13" s="168" t="s">
        <v>347</v>
      </c>
      <c r="C13" s="323">
        <f>'MS 03005'!N4</f>
        <v>3.4722600000000003</v>
      </c>
      <c r="D13" s="168">
        <v>1</v>
      </c>
      <c r="E13" s="323">
        <f>C13*D13</f>
        <v>3.4722600000000003</v>
      </c>
    </row>
    <row r="14" spans="1:14" x14ac:dyDescent="0.3">
      <c r="D14" s="695" t="s">
        <v>547</v>
      </c>
      <c r="E14" s="708">
        <f>SUM(E9:E13)</f>
        <v>18.553677999999998</v>
      </c>
    </row>
    <row r="15" spans="1:14" s="178" customFormat="1" x14ac:dyDescent="0.3">
      <c r="L15" s="161"/>
      <c r="M15" s="161"/>
      <c r="N15" s="161"/>
    </row>
    <row r="16" spans="1:14" s="178" customFormat="1" x14ac:dyDescent="0.3">
      <c r="A16" s="694" t="s">
        <v>544</v>
      </c>
      <c r="B16" s="694" t="s">
        <v>581</v>
      </c>
      <c r="C16" s="694" t="s">
        <v>549</v>
      </c>
      <c r="D16" s="694" t="s">
        <v>550</v>
      </c>
      <c r="E16" s="694" t="s">
        <v>567</v>
      </c>
      <c r="F16" s="694" t="s">
        <v>568</v>
      </c>
      <c r="G16" s="694" t="s">
        <v>569</v>
      </c>
      <c r="H16" s="694" t="s">
        <v>570</v>
      </c>
      <c r="I16" s="694" t="s">
        <v>582</v>
      </c>
      <c r="J16" s="694" t="s">
        <v>583</v>
      </c>
      <c r="K16" s="694" t="s">
        <v>584</v>
      </c>
      <c r="L16" s="694" t="s">
        <v>585</v>
      </c>
      <c r="M16" s="694" t="s">
        <v>28</v>
      </c>
      <c r="N16" s="694" t="s">
        <v>547</v>
      </c>
    </row>
    <row r="17" spans="1:18" x14ac:dyDescent="0.3">
      <c r="A17" s="168">
        <v>10</v>
      </c>
      <c r="B17" s="256" t="s">
        <v>2353</v>
      </c>
      <c r="C17" s="168" t="s">
        <v>2354</v>
      </c>
      <c r="D17" s="710">
        <v>5.0000000000000001E-3</v>
      </c>
      <c r="E17" s="168">
        <v>264</v>
      </c>
      <c r="F17" s="168" t="s">
        <v>610</v>
      </c>
      <c r="G17" s="168"/>
      <c r="H17" s="219"/>
      <c r="I17" s="269"/>
      <c r="J17" s="380"/>
      <c r="K17" s="228"/>
      <c r="L17" s="219"/>
      <c r="M17" s="168">
        <v>1</v>
      </c>
      <c r="N17" s="322">
        <f>D17*E17*M17</f>
        <v>1.32</v>
      </c>
    </row>
    <row r="18" spans="1:18" x14ac:dyDescent="0.3">
      <c r="A18" s="168">
        <v>20</v>
      </c>
      <c r="B18" s="225" t="s">
        <v>2355</v>
      </c>
      <c r="C18" s="168" t="s">
        <v>2356</v>
      </c>
      <c r="D18" s="711">
        <v>2.5</v>
      </c>
      <c r="E18" s="168">
        <v>0.1</v>
      </c>
      <c r="F18" s="168" t="s">
        <v>627</v>
      </c>
      <c r="G18" s="168"/>
      <c r="H18" s="219"/>
      <c r="I18" s="220"/>
      <c r="J18" s="361"/>
      <c r="K18" s="219"/>
      <c r="L18" s="219"/>
      <c r="M18" s="168">
        <v>1</v>
      </c>
      <c r="N18" s="322">
        <f>D18*E18*M18</f>
        <v>0.25</v>
      </c>
    </row>
    <row r="19" spans="1:18" s="311" customFormat="1" ht="28.8" x14ac:dyDescent="0.3">
      <c r="A19" s="183">
        <v>30</v>
      </c>
      <c r="B19" s="190" t="s">
        <v>1024</v>
      </c>
      <c r="C19" s="184" t="s">
        <v>2357</v>
      </c>
      <c r="D19" s="712">
        <v>0</v>
      </c>
      <c r="E19" s="183"/>
      <c r="F19" s="183"/>
      <c r="G19" s="183"/>
      <c r="H19" s="204"/>
      <c r="I19" s="205"/>
      <c r="J19" s="713"/>
      <c r="K19" s="204"/>
      <c r="L19" s="204"/>
      <c r="M19" s="168"/>
      <c r="N19" s="322">
        <f>D19*E19*M19</f>
        <v>0</v>
      </c>
    </row>
    <row r="20" spans="1:18" s="178" customFormat="1" x14ac:dyDescent="0.3">
      <c r="M20" s="695" t="s">
        <v>547</v>
      </c>
      <c r="N20" s="708">
        <f>SUM(N17:N19)</f>
        <v>1.57</v>
      </c>
    </row>
    <row r="22" spans="1:18" s="178" customFormat="1" x14ac:dyDescent="0.3">
      <c r="A22" s="694" t="s">
        <v>544</v>
      </c>
      <c r="B22" s="694" t="s">
        <v>548</v>
      </c>
      <c r="C22" s="694" t="s">
        <v>549</v>
      </c>
      <c r="D22" s="694" t="s">
        <v>550</v>
      </c>
      <c r="E22" s="694" t="s">
        <v>551</v>
      </c>
      <c r="F22" s="694" t="s">
        <v>28</v>
      </c>
      <c r="G22" s="694" t="s">
        <v>552</v>
      </c>
      <c r="H22" s="694" t="s">
        <v>553</v>
      </c>
      <c r="I22" s="694" t="s">
        <v>547</v>
      </c>
    </row>
    <row r="23" spans="1:18" x14ac:dyDescent="0.3">
      <c r="A23" s="168">
        <v>10</v>
      </c>
      <c r="B23" s="315" t="s">
        <v>650</v>
      </c>
      <c r="C23" s="171" t="s">
        <v>1228</v>
      </c>
      <c r="D23" s="323">
        <v>0.15</v>
      </c>
      <c r="E23" s="168" t="s">
        <v>593</v>
      </c>
      <c r="F23" s="168">
        <v>12</v>
      </c>
      <c r="G23" s="168"/>
      <c r="H23" s="168">
        <v>1</v>
      </c>
      <c r="I23" s="323">
        <f>F23*D23</f>
        <v>1.7999999999999998</v>
      </c>
    </row>
    <row r="24" spans="1:18" ht="14.4" customHeight="1" x14ac:dyDescent="0.3">
      <c r="A24" s="168">
        <v>20</v>
      </c>
      <c r="B24" s="179" t="s">
        <v>1004</v>
      </c>
      <c r="C24" s="171" t="s">
        <v>2358</v>
      </c>
      <c r="D24" s="323">
        <v>0.06</v>
      </c>
      <c r="E24" s="168"/>
      <c r="F24" s="168">
        <v>2</v>
      </c>
      <c r="G24" s="168"/>
      <c r="H24" s="168">
        <v>1</v>
      </c>
      <c r="I24" s="323">
        <f t="shared" ref="I24:I30" si="0">D24*F24*H24</f>
        <v>0.12</v>
      </c>
      <c r="R24" s="289"/>
    </row>
    <row r="25" spans="1:18" x14ac:dyDescent="0.3">
      <c r="A25" s="168">
        <v>30</v>
      </c>
      <c r="B25" s="179" t="s">
        <v>2359</v>
      </c>
      <c r="C25" s="179" t="s">
        <v>2360</v>
      </c>
      <c r="D25" s="323">
        <v>0.5</v>
      </c>
      <c r="E25" s="168"/>
      <c r="F25" s="168">
        <v>6</v>
      </c>
      <c r="G25" s="168"/>
      <c r="H25" s="168">
        <v>1</v>
      </c>
      <c r="I25" s="323">
        <f t="shared" si="0"/>
        <v>3</v>
      </c>
    </row>
    <row r="26" spans="1:18" x14ac:dyDescent="0.3">
      <c r="A26" s="168">
        <v>40</v>
      </c>
      <c r="B26" s="179" t="s">
        <v>2361</v>
      </c>
      <c r="C26" s="179" t="s">
        <v>2360</v>
      </c>
      <c r="D26" s="323">
        <v>0.25</v>
      </c>
      <c r="E26" s="168"/>
      <c r="F26" s="168">
        <v>6</v>
      </c>
      <c r="G26" s="168"/>
      <c r="H26" s="168">
        <v>1</v>
      </c>
      <c r="I26" s="323">
        <f t="shared" si="0"/>
        <v>1.5</v>
      </c>
    </row>
    <row r="27" spans="1:18" x14ac:dyDescent="0.3">
      <c r="A27" s="168">
        <v>50</v>
      </c>
      <c r="B27" s="179" t="s">
        <v>1004</v>
      </c>
      <c r="C27" s="171" t="s">
        <v>2362</v>
      </c>
      <c r="D27" s="323">
        <v>0.06</v>
      </c>
      <c r="E27" s="168"/>
      <c r="F27" s="168">
        <v>1</v>
      </c>
      <c r="G27" s="168"/>
      <c r="H27" s="168">
        <v>1</v>
      </c>
      <c r="I27" s="323">
        <f t="shared" si="0"/>
        <v>0.06</v>
      </c>
    </row>
    <row r="28" spans="1:18" x14ac:dyDescent="0.3">
      <c r="A28" s="168">
        <v>60</v>
      </c>
      <c r="B28" s="179" t="s">
        <v>1004</v>
      </c>
      <c r="C28" s="171" t="s">
        <v>2363</v>
      </c>
      <c r="D28" s="323">
        <v>0.06</v>
      </c>
      <c r="E28" s="168"/>
      <c r="F28" s="168">
        <v>4</v>
      </c>
      <c r="G28" s="168"/>
      <c r="H28" s="168">
        <v>1</v>
      </c>
      <c r="I28" s="323">
        <f t="shared" si="0"/>
        <v>0.24</v>
      </c>
    </row>
    <row r="29" spans="1:18" x14ac:dyDescent="0.3">
      <c r="A29" s="168">
        <v>70</v>
      </c>
      <c r="B29" s="179" t="s">
        <v>2359</v>
      </c>
      <c r="C29" s="179" t="s">
        <v>2364</v>
      </c>
      <c r="D29" s="323">
        <v>0.5</v>
      </c>
      <c r="E29" s="168"/>
      <c r="F29" s="168">
        <v>4</v>
      </c>
      <c r="G29" s="168"/>
      <c r="H29" s="168">
        <v>1</v>
      </c>
      <c r="I29" s="323">
        <f t="shared" si="0"/>
        <v>2</v>
      </c>
    </row>
    <row r="30" spans="1:18" s="178" customFormat="1" x14ac:dyDescent="0.3">
      <c r="A30" s="168">
        <v>80</v>
      </c>
      <c r="B30" s="179" t="s">
        <v>2361</v>
      </c>
      <c r="C30" s="179" t="s">
        <v>2365</v>
      </c>
      <c r="D30" s="323">
        <v>0.25</v>
      </c>
      <c r="E30" s="168"/>
      <c r="F30" s="168">
        <v>4</v>
      </c>
      <c r="G30" s="168"/>
      <c r="H30" s="168">
        <v>1</v>
      </c>
      <c r="I30" s="323">
        <f t="shared" si="0"/>
        <v>1</v>
      </c>
      <c r="J30" s="161"/>
      <c r="K30" s="161"/>
      <c r="L30" s="161"/>
    </row>
    <row r="31" spans="1:18" x14ac:dyDescent="0.3">
      <c r="A31" s="168">
        <v>90</v>
      </c>
      <c r="B31" s="180" t="s">
        <v>1131</v>
      </c>
      <c r="C31" s="171" t="s">
        <v>2366</v>
      </c>
      <c r="D31" s="243">
        <v>0.06</v>
      </c>
      <c r="E31" s="180" t="s">
        <v>593</v>
      </c>
      <c r="F31" s="168">
        <f>99.3+8</f>
        <v>107.3</v>
      </c>
      <c r="G31" s="168"/>
      <c r="H31" s="168"/>
      <c r="I31" s="323">
        <f>F31*D31</f>
        <v>6.4379999999999997</v>
      </c>
    </row>
    <row r="32" spans="1:18" x14ac:dyDescent="0.3">
      <c r="A32" s="168">
        <v>100</v>
      </c>
      <c r="B32" s="180" t="s">
        <v>1131</v>
      </c>
      <c r="C32" s="171" t="s">
        <v>2367</v>
      </c>
      <c r="D32" s="243">
        <v>0.06</v>
      </c>
      <c r="E32" s="180" t="s">
        <v>593</v>
      </c>
      <c r="F32" s="168">
        <v>128.4</v>
      </c>
      <c r="G32" s="168"/>
      <c r="H32" s="168"/>
      <c r="I32" s="323">
        <f>F32*D32</f>
        <v>7.7039999999999997</v>
      </c>
    </row>
    <row r="33" spans="1:18" x14ac:dyDescent="0.3">
      <c r="A33" s="168">
        <v>110</v>
      </c>
      <c r="B33" s="180" t="s">
        <v>656</v>
      </c>
      <c r="C33" s="184" t="s">
        <v>2368</v>
      </c>
      <c r="D33" s="642">
        <v>0.25</v>
      </c>
      <c r="E33" s="641" t="s">
        <v>556</v>
      </c>
      <c r="F33" s="184">
        <v>15</v>
      </c>
      <c r="G33" s="184"/>
      <c r="H33" s="184">
        <v>1</v>
      </c>
      <c r="I33" s="323">
        <f>F33*D33</f>
        <v>3.75</v>
      </c>
      <c r="J33" s="248"/>
    </row>
    <row r="34" spans="1:18" ht="14.4" customHeight="1" x14ac:dyDescent="0.3">
      <c r="A34" s="168">
        <v>120</v>
      </c>
      <c r="B34" s="315" t="s">
        <v>954</v>
      </c>
      <c r="C34" s="171" t="s">
        <v>2369</v>
      </c>
      <c r="D34" s="323">
        <v>0.02</v>
      </c>
      <c r="E34" s="168" t="s">
        <v>852</v>
      </c>
      <c r="F34" s="168">
        <v>315</v>
      </c>
      <c r="G34" s="168"/>
      <c r="H34" s="168">
        <v>1</v>
      </c>
      <c r="I34" s="323">
        <f>D34*F34*H34</f>
        <v>6.3</v>
      </c>
      <c r="R34" s="289"/>
    </row>
    <row r="35" spans="1:18" ht="14.4" customHeight="1" x14ac:dyDescent="0.3">
      <c r="A35" s="168">
        <v>130</v>
      </c>
      <c r="B35" s="179" t="s">
        <v>2308</v>
      </c>
      <c r="C35" s="171" t="s">
        <v>2369</v>
      </c>
      <c r="D35" s="323">
        <v>0.13</v>
      </c>
      <c r="E35" s="168"/>
      <c r="F35" s="168">
        <v>1</v>
      </c>
      <c r="G35" s="168"/>
      <c r="H35" s="168">
        <v>1</v>
      </c>
      <c r="I35" s="323">
        <f>D35*F35*H35</f>
        <v>0.13</v>
      </c>
      <c r="R35" s="289"/>
    </row>
    <row r="36" spans="1:18" ht="14.4" customHeight="1" x14ac:dyDescent="0.3">
      <c r="A36" s="168">
        <v>140</v>
      </c>
      <c r="B36" s="179" t="s">
        <v>2308</v>
      </c>
      <c r="C36" s="171" t="s">
        <v>2370</v>
      </c>
      <c r="D36" s="323">
        <v>0.13</v>
      </c>
      <c r="E36" s="168"/>
      <c r="F36" s="168">
        <v>1</v>
      </c>
      <c r="G36" s="168"/>
      <c r="H36" s="168">
        <v>1</v>
      </c>
      <c r="I36" s="323">
        <f>D36*F36*H36</f>
        <v>0.13</v>
      </c>
      <c r="R36" s="289"/>
    </row>
    <row r="37" spans="1:18" x14ac:dyDescent="0.3">
      <c r="A37" s="178"/>
      <c r="B37" s="178"/>
      <c r="C37" s="178"/>
      <c r="D37" s="178"/>
      <c r="E37" s="178"/>
      <c r="F37" s="178"/>
      <c r="G37" s="178"/>
      <c r="H37" s="695" t="s">
        <v>547</v>
      </c>
      <c r="I37" s="708">
        <f>SUM(I23:I36)</f>
        <v>34.172000000000004</v>
      </c>
      <c r="K37" s="178"/>
      <c r="L37" s="178"/>
    </row>
    <row r="39" spans="1:18" x14ac:dyDescent="0.3">
      <c r="A39" s="694" t="s">
        <v>544</v>
      </c>
      <c r="B39" s="694" t="s">
        <v>566</v>
      </c>
      <c r="C39" s="694" t="s">
        <v>549</v>
      </c>
      <c r="D39" s="694" t="s">
        <v>550</v>
      </c>
      <c r="E39" s="694" t="s">
        <v>567</v>
      </c>
      <c r="F39" s="694" t="s">
        <v>568</v>
      </c>
      <c r="G39" s="694" t="s">
        <v>569</v>
      </c>
      <c r="H39" s="694" t="s">
        <v>570</v>
      </c>
      <c r="I39" s="694" t="s">
        <v>28</v>
      </c>
      <c r="J39" s="694" t="s">
        <v>547</v>
      </c>
      <c r="K39" s="178"/>
      <c r="L39" s="178"/>
    </row>
    <row r="40" spans="1:18" x14ac:dyDescent="0.3">
      <c r="A40" s="168">
        <v>10</v>
      </c>
      <c r="B40" s="225" t="s">
        <v>684</v>
      </c>
      <c r="C40" s="168" t="s">
        <v>2371</v>
      </c>
      <c r="D40" s="323">
        <v>0.04</v>
      </c>
      <c r="E40" s="168">
        <v>6</v>
      </c>
      <c r="F40" s="245" t="s">
        <v>573</v>
      </c>
      <c r="G40" s="168">
        <v>16</v>
      </c>
      <c r="H40" s="171" t="s">
        <v>573</v>
      </c>
      <c r="I40" s="327">
        <v>4</v>
      </c>
      <c r="J40" s="323">
        <f>D40*I40</f>
        <v>0.16</v>
      </c>
    </row>
    <row r="41" spans="1:18" x14ac:dyDescent="0.3">
      <c r="A41" s="168">
        <v>20</v>
      </c>
      <c r="B41" s="225" t="s">
        <v>684</v>
      </c>
      <c r="C41" s="168" t="s">
        <v>2372</v>
      </c>
      <c r="D41" s="323">
        <v>0.04</v>
      </c>
      <c r="E41" s="168">
        <v>6</v>
      </c>
      <c r="F41" s="245" t="s">
        <v>573</v>
      </c>
      <c r="G41" s="168">
        <v>16</v>
      </c>
      <c r="H41" s="171" t="s">
        <v>573</v>
      </c>
      <c r="I41" s="327">
        <v>2</v>
      </c>
      <c r="J41" s="323">
        <f>D41*I41</f>
        <v>0.08</v>
      </c>
    </row>
    <row r="42" spans="1:18" x14ac:dyDescent="0.3">
      <c r="A42" s="168">
        <v>30</v>
      </c>
      <c r="B42" s="225" t="s">
        <v>684</v>
      </c>
      <c r="C42" s="168" t="s">
        <v>2373</v>
      </c>
      <c r="D42" s="323">
        <v>0.04</v>
      </c>
      <c r="E42" s="168">
        <v>6</v>
      </c>
      <c r="F42" s="245" t="s">
        <v>573</v>
      </c>
      <c r="G42" s="168">
        <v>16</v>
      </c>
      <c r="H42" s="171" t="s">
        <v>573</v>
      </c>
      <c r="I42" s="327">
        <v>4</v>
      </c>
      <c r="J42" s="323">
        <f>D42*I42</f>
        <v>0.16</v>
      </c>
    </row>
    <row r="43" spans="1:18" x14ac:dyDescent="0.3">
      <c r="A43" s="168">
        <v>40</v>
      </c>
      <c r="B43" s="675" t="s">
        <v>618</v>
      </c>
      <c r="C43" s="168" t="s">
        <v>2374</v>
      </c>
      <c r="D43" s="323">
        <v>0.03</v>
      </c>
      <c r="E43" s="168">
        <v>6</v>
      </c>
      <c r="F43" s="245" t="s">
        <v>573</v>
      </c>
      <c r="G43" s="168"/>
      <c r="H43" s="171"/>
      <c r="I43" s="327">
        <v>10</v>
      </c>
      <c r="J43" s="323">
        <f>D43*I43</f>
        <v>0.3</v>
      </c>
    </row>
    <row r="44" spans="1:18" x14ac:dyDescent="0.3">
      <c r="A44" s="168">
        <v>50</v>
      </c>
      <c r="B44" s="356" t="s">
        <v>2348</v>
      </c>
      <c r="C44" s="168"/>
      <c r="D44" s="323">
        <v>1.4999999999999999E-2</v>
      </c>
      <c r="E44" s="168">
        <v>6</v>
      </c>
      <c r="F44" s="245" t="s">
        <v>573</v>
      </c>
      <c r="G44" s="168"/>
      <c r="H44" s="171"/>
      <c r="I44" s="327">
        <v>20</v>
      </c>
      <c r="J44" s="323">
        <f>D44*I44</f>
        <v>0.3</v>
      </c>
    </row>
    <row r="45" spans="1:18" x14ac:dyDescent="0.3">
      <c r="A45" s="178"/>
      <c r="B45" s="178"/>
      <c r="C45" s="178"/>
      <c r="D45" s="178"/>
      <c r="E45" s="178"/>
      <c r="F45" s="178"/>
      <c r="G45" s="178"/>
      <c r="H45" s="178"/>
      <c r="I45" s="695" t="s">
        <v>547</v>
      </c>
      <c r="J45" s="708">
        <f>SUM(J40:J44)</f>
        <v>1</v>
      </c>
      <c r="K45" s="178"/>
      <c r="L45" s="178"/>
    </row>
    <row r="46" spans="1:18" x14ac:dyDescent="0.3">
      <c r="H46" s="326"/>
      <c r="I46" s="325"/>
    </row>
    <row r="47" spans="1:18" s="178" customFormat="1" x14ac:dyDescent="0.3">
      <c r="A47" s="694" t="s">
        <v>544</v>
      </c>
      <c r="B47" s="694" t="s">
        <v>6</v>
      </c>
      <c r="C47" s="694" t="s">
        <v>549</v>
      </c>
      <c r="D47" s="694" t="s">
        <v>550</v>
      </c>
      <c r="E47" s="694" t="s">
        <v>551</v>
      </c>
      <c r="F47" s="694" t="s">
        <v>28</v>
      </c>
      <c r="G47" s="694" t="s">
        <v>691</v>
      </c>
      <c r="H47" s="694" t="s">
        <v>736</v>
      </c>
      <c r="I47" s="694" t="s">
        <v>547</v>
      </c>
    </row>
    <row r="48" spans="1:18" x14ac:dyDescent="0.3">
      <c r="A48" s="168">
        <v>10</v>
      </c>
      <c r="B48" s="179" t="s">
        <v>693</v>
      </c>
      <c r="C48" s="168" t="s">
        <v>1228</v>
      </c>
      <c r="D48" s="323">
        <v>500</v>
      </c>
      <c r="E48" s="168" t="s">
        <v>695</v>
      </c>
      <c r="F48" s="168">
        <v>6</v>
      </c>
      <c r="G48" s="168">
        <v>3000</v>
      </c>
      <c r="H48" s="168">
        <v>1</v>
      </c>
      <c r="I48" s="322">
        <f>F48*D48/G48</f>
        <v>1</v>
      </c>
    </row>
    <row r="49" spans="1:12" x14ac:dyDescent="0.3">
      <c r="A49" s="178"/>
      <c r="B49" s="178"/>
      <c r="C49" s="178"/>
      <c r="D49" s="178"/>
      <c r="E49" s="178"/>
      <c r="F49" s="178"/>
      <c r="G49" s="178"/>
      <c r="H49" s="695" t="s">
        <v>547</v>
      </c>
      <c r="I49" s="708">
        <f>SUM(I48:I48)</f>
        <v>1</v>
      </c>
      <c r="J49" s="178"/>
      <c r="K49" s="178"/>
      <c r="L49" s="178"/>
    </row>
  </sheetData>
  <pageMargins left="0.5" right="0.5" top="0.75" bottom="0.75" header="0.3" footer="0.3"/>
  <pageSetup scale="56" orientation="landscape" r:id="rId1"/>
</worksheet>
</file>

<file path=xl/worksheets/sheet2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Q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7.77734375" style="161" customWidth="1"/>
    <col min="3" max="3" width="24.77734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2.1093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6.8867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7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N11+I16</f>
        <v>4.4106160000000001</v>
      </c>
    </row>
    <row r="2" spans="1:17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7" x14ac:dyDescent="0.3">
      <c r="A3" s="698" t="s">
        <v>534</v>
      </c>
      <c r="B3" s="161" t="s">
        <v>337</v>
      </c>
      <c r="D3" s="698" t="s">
        <v>538</v>
      </c>
      <c r="J3" s="698" t="s">
        <v>536</v>
      </c>
    </row>
    <row r="4" spans="1:17" x14ac:dyDescent="0.3">
      <c r="A4" s="698" t="s">
        <v>545</v>
      </c>
      <c r="B4" s="166" t="s">
        <v>339</v>
      </c>
      <c r="D4" s="698" t="s">
        <v>541</v>
      </c>
      <c r="J4" s="698" t="s">
        <v>538</v>
      </c>
      <c r="M4" s="698" t="s">
        <v>539</v>
      </c>
      <c r="N4" s="336">
        <f>N1*N2</f>
        <v>4.4106160000000001</v>
      </c>
    </row>
    <row r="5" spans="1:17" x14ac:dyDescent="0.3">
      <c r="A5" s="698" t="s">
        <v>537</v>
      </c>
      <c r="B5" s="199" t="s">
        <v>338</v>
      </c>
      <c r="J5" s="698" t="s">
        <v>541</v>
      </c>
    </row>
    <row r="6" spans="1:17" x14ac:dyDescent="0.3">
      <c r="A6" s="698" t="s">
        <v>540</v>
      </c>
      <c r="B6" s="161" t="s">
        <v>36</v>
      </c>
    </row>
    <row r="7" spans="1:17" x14ac:dyDescent="0.3">
      <c r="A7" s="698" t="s">
        <v>542</v>
      </c>
    </row>
    <row r="9" spans="1:17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7" ht="28.8" x14ac:dyDescent="0.3">
      <c r="A10" s="168">
        <v>10</v>
      </c>
      <c r="B10" s="168" t="s">
        <v>1032</v>
      </c>
      <c r="C10" s="168" t="s">
        <v>2375</v>
      </c>
      <c r="D10" s="302">
        <v>4.2</v>
      </c>
      <c r="E10" s="168">
        <v>0.28999999999999998</v>
      </c>
      <c r="F10" s="168" t="s">
        <v>644</v>
      </c>
      <c r="G10" s="168">
        <v>0.28000000000000003</v>
      </c>
      <c r="H10" s="219" t="s">
        <v>644</v>
      </c>
      <c r="I10" s="269" t="s">
        <v>2376</v>
      </c>
      <c r="J10" s="227">
        <f>G10*E10</f>
        <v>8.1200000000000008E-2</v>
      </c>
      <c r="K10" s="227">
        <v>2E-3</v>
      </c>
      <c r="L10" s="219">
        <v>2700</v>
      </c>
      <c r="M10" s="227">
        <f>L10*K10*J10</f>
        <v>0.43848000000000009</v>
      </c>
      <c r="N10" s="322">
        <f>D10*M10</f>
        <v>1.8416160000000004</v>
      </c>
      <c r="Q10" s="714"/>
    </row>
    <row r="11" spans="1:17" s="178" customFormat="1" x14ac:dyDescent="0.3">
      <c r="M11" s="701" t="s">
        <v>547</v>
      </c>
      <c r="N11" s="704">
        <f>SUM(N10:N10)</f>
        <v>1.8416160000000004</v>
      </c>
    </row>
    <row r="13" spans="1:17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7" ht="17.399999999999999" customHeight="1" x14ac:dyDescent="0.3">
      <c r="A14" s="168">
        <v>10</v>
      </c>
      <c r="B14" s="180" t="s">
        <v>589</v>
      </c>
      <c r="C14" s="171" t="s">
        <v>1035</v>
      </c>
      <c r="D14" s="243">
        <v>1.3</v>
      </c>
      <c r="E14" s="168"/>
      <c r="F14" s="168">
        <v>1</v>
      </c>
      <c r="G14" s="168"/>
      <c r="H14" s="168"/>
      <c r="I14" s="362">
        <f>F14*D14</f>
        <v>1.3</v>
      </c>
    </row>
    <row r="15" spans="1:17" s="248" customFormat="1" ht="28.2" customHeight="1" x14ac:dyDescent="0.3">
      <c r="A15" s="184">
        <v>20</v>
      </c>
      <c r="B15" s="180" t="s">
        <v>591</v>
      </c>
      <c r="C15" s="193" t="s">
        <v>2377</v>
      </c>
      <c r="D15" s="284">
        <v>0.01</v>
      </c>
      <c r="E15" s="184" t="s">
        <v>1037</v>
      </c>
      <c r="F15" s="184">
        <v>126.9</v>
      </c>
      <c r="G15" s="184" t="s">
        <v>723</v>
      </c>
      <c r="H15" s="184">
        <v>1</v>
      </c>
      <c r="I15" s="362">
        <f>F15*D15</f>
        <v>1.2690000000000001</v>
      </c>
    </row>
    <row r="16" spans="1:17" s="178" customFormat="1" x14ac:dyDescent="0.3">
      <c r="H16" s="701" t="s">
        <v>547</v>
      </c>
      <c r="I16" s="704">
        <f>SUM(I14:I15)</f>
        <v>2.569</v>
      </c>
    </row>
  </sheetData>
  <pageMargins left="0.5" right="0.5" top="0.75" bottom="0.75" header="0.3" footer="0.3"/>
  <pageSetup scale="56" orientation="landscape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7"/>
  <sheetViews>
    <sheetView showGridLines="0" workbookViewId="0"/>
  </sheetViews>
  <sheetFormatPr defaultColWidth="11.44140625" defaultRowHeight="14.4" x14ac:dyDescent="0.3"/>
  <cols>
    <col min="1" max="1" width="11.44140625" style="196"/>
    <col min="2" max="2" width="28.6640625" style="196" customWidth="1"/>
    <col min="3" max="3" width="34" style="196" customWidth="1"/>
    <col min="4" max="6" width="11.44140625" style="196"/>
    <col min="7" max="7" width="20.109375" style="196" customWidth="1"/>
    <col min="8" max="8" width="11.44140625" style="196"/>
    <col min="9" max="9" width="17.109375" style="196" customWidth="1"/>
    <col min="10" max="12" width="11.44140625" style="196"/>
    <col min="13" max="13" width="19.109375" style="196" customWidth="1"/>
    <col min="14" max="16384" width="11.44140625" style="196"/>
  </cols>
  <sheetData>
    <row r="1" spans="1:14" x14ac:dyDescent="0.3">
      <c r="A1" s="294" t="s">
        <v>523</v>
      </c>
      <c r="B1" s="248" t="s">
        <v>524</v>
      </c>
      <c r="J1" s="295" t="s">
        <v>528</v>
      </c>
      <c r="K1" s="250">
        <v>81</v>
      </c>
      <c r="M1" s="294" t="s">
        <v>546</v>
      </c>
      <c r="N1" s="251">
        <f>N11+I17</f>
        <v>3.3639008000000001</v>
      </c>
    </row>
    <row r="2" spans="1:14" x14ac:dyDescent="0.3">
      <c r="A2" s="294" t="s">
        <v>532</v>
      </c>
      <c r="B2" s="248" t="s">
        <v>578</v>
      </c>
      <c r="D2" s="294" t="s">
        <v>536</v>
      </c>
      <c r="M2" s="294" t="s">
        <v>533</v>
      </c>
      <c r="N2" s="306">
        <v>1</v>
      </c>
    </row>
    <row r="3" spans="1:14" x14ac:dyDescent="0.3">
      <c r="A3" s="294" t="s">
        <v>534</v>
      </c>
      <c r="B3" s="196" t="s">
        <v>705</v>
      </c>
      <c r="D3" s="294" t="s">
        <v>538</v>
      </c>
      <c r="J3" s="294" t="s">
        <v>536</v>
      </c>
    </row>
    <row r="4" spans="1:14" x14ac:dyDescent="0.3">
      <c r="A4" s="294" t="s">
        <v>545</v>
      </c>
      <c r="B4" s="196" t="s">
        <v>624</v>
      </c>
      <c r="D4" s="294" t="s">
        <v>541</v>
      </c>
      <c r="J4" s="294" t="s">
        <v>538</v>
      </c>
      <c r="M4" s="294" t="s">
        <v>539</v>
      </c>
      <c r="N4" s="251">
        <f>N2*N1</f>
        <v>3.3639008000000001</v>
      </c>
    </row>
    <row r="5" spans="1:14" x14ac:dyDescent="0.3">
      <c r="A5" s="294" t="s">
        <v>537</v>
      </c>
      <c r="B5" s="297" t="s">
        <v>730</v>
      </c>
      <c r="J5" s="294" t="s">
        <v>541</v>
      </c>
    </row>
    <row r="6" spans="1:14" x14ac:dyDescent="0.3">
      <c r="A6" s="294" t="s">
        <v>540</v>
      </c>
      <c r="B6" s="248" t="s">
        <v>36</v>
      </c>
    </row>
    <row r="7" spans="1:14" ht="28.8" x14ac:dyDescent="0.3">
      <c r="A7" s="298" t="s">
        <v>542</v>
      </c>
      <c r="B7" s="196" t="s">
        <v>731</v>
      </c>
    </row>
    <row r="8" spans="1:14" x14ac:dyDescent="0.3">
      <c r="A8" s="299"/>
      <c r="B8" s="299"/>
      <c r="C8" s="299"/>
      <c r="D8" s="299"/>
      <c r="E8" s="299"/>
    </row>
    <row r="9" spans="1:14" x14ac:dyDescent="0.3">
      <c r="A9" s="300" t="s">
        <v>544</v>
      </c>
      <c r="B9" s="300" t="s">
        <v>581</v>
      </c>
      <c r="C9" s="300" t="s">
        <v>549</v>
      </c>
      <c r="D9" s="300" t="s">
        <v>550</v>
      </c>
      <c r="E9" s="300" t="s">
        <v>567</v>
      </c>
      <c r="F9" s="301" t="s">
        <v>568</v>
      </c>
      <c r="G9" s="301" t="s">
        <v>569</v>
      </c>
      <c r="H9" s="301" t="s">
        <v>570</v>
      </c>
      <c r="I9" s="301" t="s">
        <v>582</v>
      </c>
      <c r="J9" s="301" t="s">
        <v>583</v>
      </c>
      <c r="K9" s="301" t="s">
        <v>584</v>
      </c>
      <c r="L9" s="301" t="s">
        <v>585</v>
      </c>
      <c r="M9" s="301" t="s">
        <v>28</v>
      </c>
      <c r="N9" s="301" t="s">
        <v>547</v>
      </c>
    </row>
    <row r="10" spans="1:14" s="248" customFormat="1" ht="28.8" x14ac:dyDescent="0.3">
      <c r="A10" s="184">
        <v>10</v>
      </c>
      <c r="B10" s="168" t="s">
        <v>707</v>
      </c>
      <c r="C10" s="184" t="s">
        <v>607</v>
      </c>
      <c r="D10" s="307">
        <v>4.2</v>
      </c>
      <c r="E10" s="184">
        <v>120</v>
      </c>
      <c r="F10" s="184" t="s">
        <v>573</v>
      </c>
      <c r="G10" s="184">
        <v>80</v>
      </c>
      <c r="H10" s="268" t="s">
        <v>573</v>
      </c>
      <c r="I10" s="269" t="s">
        <v>712</v>
      </c>
      <c r="J10" s="274">
        <f>E10*G10/1000000</f>
        <v>9.5999999999999992E-3</v>
      </c>
      <c r="K10" s="303">
        <v>1.5E-3</v>
      </c>
      <c r="L10" s="219">
        <v>2710</v>
      </c>
      <c r="M10" s="271">
        <v>1</v>
      </c>
      <c r="N10" s="260">
        <f>J10*K10*L10*M10*D10</f>
        <v>0.16390079999999999</v>
      </c>
    </row>
    <row r="11" spans="1:14" x14ac:dyDescent="0.3">
      <c r="A11" s="278"/>
      <c r="B11" s="278"/>
      <c r="C11" s="278"/>
      <c r="D11" s="278"/>
      <c r="E11" s="278"/>
      <c r="F11" s="278"/>
      <c r="G11" s="278"/>
      <c r="H11" s="278"/>
      <c r="I11" s="278"/>
      <c r="J11" s="278"/>
      <c r="K11" s="278"/>
      <c r="L11" s="278"/>
      <c r="M11" s="304" t="s">
        <v>547</v>
      </c>
      <c r="N11" s="305">
        <f>N10</f>
        <v>0.16390079999999999</v>
      </c>
    </row>
    <row r="13" spans="1:14" x14ac:dyDescent="0.3">
      <c r="A13" s="301" t="s">
        <v>544</v>
      </c>
      <c r="B13" s="301" t="s">
        <v>548</v>
      </c>
      <c r="C13" s="301" t="s">
        <v>549</v>
      </c>
      <c r="D13" s="301" t="s">
        <v>550</v>
      </c>
      <c r="E13" s="301" t="s">
        <v>551</v>
      </c>
      <c r="F13" s="301" t="s">
        <v>28</v>
      </c>
      <c r="G13" s="301" t="s">
        <v>552</v>
      </c>
      <c r="H13" s="301" t="s">
        <v>553</v>
      </c>
      <c r="I13" s="301" t="s">
        <v>547</v>
      </c>
      <c r="J13" s="278"/>
      <c r="K13" s="278"/>
      <c r="L13" s="278"/>
      <c r="M13" s="278"/>
      <c r="N13" s="278"/>
    </row>
    <row r="14" spans="1:14" s="248" customFormat="1" ht="28.8" x14ac:dyDescent="0.3">
      <c r="A14" s="184">
        <v>10</v>
      </c>
      <c r="B14" s="180" t="s">
        <v>589</v>
      </c>
      <c r="C14" s="184" t="s">
        <v>699</v>
      </c>
      <c r="D14" s="195">
        <v>1.3</v>
      </c>
      <c r="E14" s="184" t="s">
        <v>556</v>
      </c>
      <c r="F14" s="184">
        <v>1</v>
      </c>
      <c r="G14" s="184"/>
      <c r="H14" s="184"/>
      <c r="I14" s="195">
        <f>D14*F14</f>
        <v>1.3</v>
      </c>
    </row>
    <row r="15" spans="1:14" s="248" customFormat="1" x14ac:dyDescent="0.3">
      <c r="A15" s="184">
        <v>20</v>
      </c>
      <c r="B15" s="180" t="s">
        <v>700</v>
      </c>
      <c r="C15" s="193" t="s">
        <v>709</v>
      </c>
      <c r="D15" s="195">
        <v>0.01</v>
      </c>
      <c r="E15" s="184" t="s">
        <v>593</v>
      </c>
      <c r="F15" s="184">
        <v>40</v>
      </c>
      <c r="G15" s="180" t="s">
        <v>710</v>
      </c>
      <c r="H15" s="267">
        <v>1</v>
      </c>
      <c r="I15" s="195">
        <f>D15*F15*H15</f>
        <v>0.4</v>
      </c>
    </row>
    <row r="16" spans="1:14" s="248" customFormat="1" x14ac:dyDescent="0.3">
      <c r="A16" s="184">
        <v>30</v>
      </c>
      <c r="B16" s="180" t="s">
        <v>702</v>
      </c>
      <c r="C16" s="184" t="s">
        <v>711</v>
      </c>
      <c r="D16" s="195">
        <v>0.25</v>
      </c>
      <c r="E16" s="184" t="s">
        <v>704</v>
      </c>
      <c r="F16" s="184">
        <v>6</v>
      </c>
      <c r="G16" s="184"/>
      <c r="H16" s="184"/>
      <c r="I16" s="195">
        <f>D16*F16</f>
        <v>1.5</v>
      </c>
    </row>
    <row r="17" spans="1:14" x14ac:dyDescent="0.3">
      <c r="A17" s="278"/>
      <c r="B17" s="278"/>
      <c r="C17" s="278"/>
      <c r="D17" s="278"/>
      <c r="E17" s="278"/>
      <c r="F17" s="278"/>
      <c r="G17" s="278"/>
      <c r="H17" s="304" t="s">
        <v>547</v>
      </c>
      <c r="I17" s="305">
        <f>SUM(I14:I16)</f>
        <v>3.2</v>
      </c>
      <c r="J17" s="278"/>
      <c r="K17" s="278"/>
      <c r="L17" s="278"/>
      <c r="M17" s="278"/>
      <c r="N17" s="278"/>
    </row>
  </sheetData>
  <pageMargins left="0.7" right="0.7" top="0.75" bottom="0.75" header="0.3" footer="0.3"/>
  <pageSetup paperSize="9" scale="59" fitToHeight="0" orientation="landscape" r:id="rId1"/>
</worksheet>
</file>

<file path=xl/worksheets/sheet2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7.88671875" style="161" customWidth="1"/>
    <col min="3" max="3" width="25.5546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6.6640625" style="161" customWidth="1"/>
    <col min="8" max="8" width="13.88671875" style="161" bestFit="1" customWidth="1"/>
    <col min="9" max="9" width="20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6.8867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N11+I16</f>
        <v>0.8803955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2</v>
      </c>
    </row>
    <row r="3" spans="1:14" x14ac:dyDescent="0.3">
      <c r="A3" s="698" t="s">
        <v>534</v>
      </c>
      <c r="B3" s="161" t="s">
        <v>337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341</v>
      </c>
      <c r="D4" s="698" t="s">
        <v>541</v>
      </c>
      <c r="J4" s="698" t="s">
        <v>538</v>
      </c>
      <c r="M4" s="698" t="s">
        <v>539</v>
      </c>
      <c r="N4" s="336">
        <f>N1*N2</f>
        <v>1.760791</v>
      </c>
    </row>
    <row r="5" spans="1:14" x14ac:dyDescent="0.3">
      <c r="A5" s="698" t="s">
        <v>537</v>
      </c>
      <c r="B5" s="199" t="s">
        <v>340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32.25" customHeight="1" x14ac:dyDescent="0.3">
      <c r="A10" s="168">
        <v>10</v>
      </c>
      <c r="B10" s="168" t="s">
        <v>606</v>
      </c>
      <c r="C10" s="168" t="s">
        <v>607</v>
      </c>
      <c r="D10" s="302">
        <v>2.25</v>
      </c>
      <c r="E10" s="168">
        <v>7.3499999999999996E-2</v>
      </c>
      <c r="F10" s="168" t="s">
        <v>644</v>
      </c>
      <c r="G10" s="168">
        <v>0.02</v>
      </c>
      <c r="H10" s="219" t="s">
        <v>644</v>
      </c>
      <c r="I10" s="269" t="s">
        <v>2378</v>
      </c>
      <c r="J10" s="227">
        <f>G10*E10</f>
        <v>1.47E-3</v>
      </c>
      <c r="K10" s="227">
        <v>3.0000000000000001E-3</v>
      </c>
      <c r="L10" s="219">
        <v>7800</v>
      </c>
      <c r="M10" s="227">
        <f>K10*J10</f>
        <v>4.4100000000000001E-6</v>
      </c>
      <c r="N10" s="362">
        <f>L10*M10*D10</f>
        <v>7.7395499999999992E-2</v>
      </c>
    </row>
    <row r="11" spans="1:14" s="178" customFormat="1" x14ac:dyDescent="0.3">
      <c r="M11" s="701" t="s">
        <v>547</v>
      </c>
      <c r="N11" s="704">
        <f>SUM(N10:N10)</f>
        <v>7.7395499999999992E-2</v>
      </c>
    </row>
    <row r="13" spans="1:14" s="178" customFormat="1" x14ac:dyDescent="0.3">
      <c r="A13" s="715" t="s">
        <v>544</v>
      </c>
      <c r="B13" s="715" t="s">
        <v>548</v>
      </c>
      <c r="C13" s="715" t="s">
        <v>549</v>
      </c>
      <c r="D13" s="715" t="s">
        <v>550</v>
      </c>
      <c r="E13" s="715" t="s">
        <v>551</v>
      </c>
      <c r="F13" s="715" t="s">
        <v>28</v>
      </c>
      <c r="G13" s="715" t="s">
        <v>552</v>
      </c>
      <c r="H13" s="715" t="s">
        <v>553</v>
      </c>
      <c r="I13" s="715" t="s">
        <v>547</v>
      </c>
    </row>
    <row r="14" spans="1:14" ht="37.200000000000003" customHeight="1" x14ac:dyDescent="0.3">
      <c r="A14" s="184">
        <v>10</v>
      </c>
      <c r="B14" s="180" t="s">
        <v>589</v>
      </c>
      <c r="C14" s="193" t="s">
        <v>1035</v>
      </c>
      <c r="D14" s="284">
        <v>1.3</v>
      </c>
      <c r="E14" s="184"/>
      <c r="F14" s="184">
        <v>1</v>
      </c>
      <c r="G14" s="184" t="s">
        <v>1508</v>
      </c>
      <c r="H14" s="184">
        <v>0.5</v>
      </c>
      <c r="I14" s="362">
        <f>F14*D14*H14</f>
        <v>0.65</v>
      </c>
    </row>
    <row r="15" spans="1:14" s="248" customFormat="1" ht="19.2" customHeight="1" x14ac:dyDescent="0.3">
      <c r="A15" s="184">
        <v>20</v>
      </c>
      <c r="B15" s="180" t="s">
        <v>591</v>
      </c>
      <c r="C15" s="193" t="s">
        <v>2377</v>
      </c>
      <c r="D15" s="284">
        <v>0.01</v>
      </c>
      <c r="E15" s="184" t="s">
        <v>1037</v>
      </c>
      <c r="F15" s="184">
        <v>5.0999999999999996</v>
      </c>
      <c r="G15" s="184" t="s">
        <v>598</v>
      </c>
      <c r="H15" s="184">
        <v>3</v>
      </c>
      <c r="I15" s="362">
        <f>F15*D15*H15</f>
        <v>0.153</v>
      </c>
    </row>
    <row r="16" spans="1:14" s="178" customFormat="1" x14ac:dyDescent="0.3">
      <c r="A16" s="278"/>
      <c r="B16" s="278"/>
      <c r="C16" s="278"/>
      <c r="D16" s="278"/>
      <c r="E16" s="278"/>
      <c r="F16" s="278"/>
      <c r="G16" s="278"/>
      <c r="H16" s="716" t="s">
        <v>547</v>
      </c>
      <c r="I16" s="717">
        <f>SUM(I14:I15)</f>
        <v>0.80300000000000005</v>
      </c>
    </row>
  </sheetData>
  <pageMargins left="0.5" right="0.5" top="0.75" bottom="0.75" header="0.3" footer="0.3"/>
  <pageSetup scale="54" orientation="landscape" r:id="rId1"/>
</worksheet>
</file>

<file path=xl/worksheets/sheet2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4.44140625" style="161" bestFit="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0.88671875" style="161" customWidth="1"/>
    <col min="8" max="8" width="13.88671875" style="161" bestFit="1" customWidth="1"/>
    <col min="9" max="9" width="19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6.8867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N11+I16</f>
        <v>1.7295400000000001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337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343</v>
      </c>
      <c r="D4" s="698" t="s">
        <v>541</v>
      </c>
      <c r="J4" s="698" t="s">
        <v>538</v>
      </c>
      <c r="M4" s="698" t="s">
        <v>539</v>
      </c>
      <c r="N4" s="336">
        <f>N1*N2</f>
        <v>1.7295400000000001</v>
      </c>
    </row>
    <row r="5" spans="1:14" x14ac:dyDescent="0.3">
      <c r="A5" s="698" t="s">
        <v>537</v>
      </c>
      <c r="B5" s="199" t="s">
        <v>342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31.2" customHeight="1" x14ac:dyDescent="0.3">
      <c r="A10" s="168">
        <v>10</v>
      </c>
      <c r="B10" s="168" t="s">
        <v>606</v>
      </c>
      <c r="C10" s="168" t="s">
        <v>607</v>
      </c>
      <c r="D10" s="302">
        <v>2.25</v>
      </c>
      <c r="E10" s="168">
        <v>0.06</v>
      </c>
      <c r="F10" s="168" t="s">
        <v>644</v>
      </c>
      <c r="G10" s="168">
        <v>0.06</v>
      </c>
      <c r="H10" s="219" t="s">
        <v>644</v>
      </c>
      <c r="I10" s="269" t="s">
        <v>2379</v>
      </c>
      <c r="J10" s="227">
        <f>G10*E10</f>
        <v>3.5999999999999999E-3</v>
      </c>
      <c r="K10" s="227">
        <v>3.0000000000000001E-3</v>
      </c>
      <c r="L10" s="219">
        <v>7800</v>
      </c>
      <c r="M10" s="227">
        <f>K10*J10</f>
        <v>1.08E-5</v>
      </c>
      <c r="N10" s="322">
        <f>L10*M10*D10</f>
        <v>0.18953999999999999</v>
      </c>
    </row>
    <row r="11" spans="1:14" s="178" customFormat="1" x14ac:dyDescent="0.3">
      <c r="M11" s="701" t="s">
        <v>547</v>
      </c>
      <c r="N11" s="717">
        <f>SUM(N10:N10)</f>
        <v>0.18953999999999999</v>
      </c>
    </row>
    <row r="13" spans="1:14" s="178" customFormat="1" x14ac:dyDescent="0.3">
      <c r="A13" s="715" t="s">
        <v>544</v>
      </c>
      <c r="B13" s="715" t="s">
        <v>548</v>
      </c>
      <c r="C13" s="715" t="s">
        <v>549</v>
      </c>
      <c r="D13" s="715" t="s">
        <v>550</v>
      </c>
      <c r="E13" s="715" t="s">
        <v>551</v>
      </c>
      <c r="F13" s="715" t="s">
        <v>28</v>
      </c>
      <c r="G13" s="715" t="s">
        <v>552</v>
      </c>
      <c r="H13" s="715" t="s">
        <v>553</v>
      </c>
      <c r="I13" s="715" t="s">
        <v>547</v>
      </c>
    </row>
    <row r="14" spans="1:14" ht="32.4" customHeight="1" x14ac:dyDescent="0.3">
      <c r="A14" s="184">
        <v>10</v>
      </c>
      <c r="B14" s="180" t="s">
        <v>589</v>
      </c>
      <c r="C14" s="193" t="s">
        <v>1035</v>
      </c>
      <c r="D14" s="284">
        <v>1.3</v>
      </c>
      <c r="E14" s="184"/>
      <c r="F14" s="184">
        <v>1</v>
      </c>
      <c r="G14" s="184"/>
      <c r="H14" s="184"/>
      <c r="I14" s="362">
        <f>F14*D14</f>
        <v>1.3</v>
      </c>
    </row>
    <row r="15" spans="1:14" s="248" customFormat="1" ht="31.2" customHeight="1" x14ac:dyDescent="0.3">
      <c r="A15" s="184">
        <v>20</v>
      </c>
      <c r="B15" s="180" t="s">
        <v>591</v>
      </c>
      <c r="C15" s="193" t="s">
        <v>2377</v>
      </c>
      <c r="D15" s="284">
        <v>0.01</v>
      </c>
      <c r="E15" s="184" t="s">
        <v>1037</v>
      </c>
      <c r="F15" s="184">
        <v>8</v>
      </c>
      <c r="G15" s="184" t="s">
        <v>598</v>
      </c>
      <c r="H15" s="184">
        <v>3</v>
      </c>
      <c r="I15" s="362">
        <f>F15*D15*H15</f>
        <v>0.24</v>
      </c>
    </row>
    <row r="16" spans="1:14" s="178" customFormat="1" x14ac:dyDescent="0.3">
      <c r="A16" s="278"/>
      <c r="B16" s="278"/>
      <c r="C16" s="278"/>
      <c r="D16" s="278"/>
      <c r="E16" s="278"/>
      <c r="F16" s="278"/>
      <c r="G16" s="278"/>
      <c r="H16" s="716" t="s">
        <v>547</v>
      </c>
      <c r="I16" s="717">
        <f>SUM(I14:I15)</f>
        <v>1.54</v>
      </c>
    </row>
  </sheetData>
  <pageMargins left="0.5" right="0.5" top="0.75" bottom="0.75" header="0.3" footer="0.3"/>
  <pageSetup scale="59" orientation="landscape" r:id="rId1"/>
</worksheet>
</file>

<file path=xl/worksheets/sheet2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4.44140625" style="161" bestFit="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6.8867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N11+I17</f>
        <v>5.4196800000000005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337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345</v>
      </c>
      <c r="D4" s="698" t="s">
        <v>541</v>
      </c>
      <c r="J4" s="698" t="s">
        <v>538</v>
      </c>
      <c r="M4" s="698" t="s">
        <v>539</v>
      </c>
      <c r="N4" s="336">
        <f>N1*N2</f>
        <v>5.4196800000000005</v>
      </c>
    </row>
    <row r="5" spans="1:14" x14ac:dyDescent="0.3">
      <c r="A5" s="698" t="s">
        <v>537</v>
      </c>
      <c r="B5" s="199" t="s">
        <v>344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x14ac:dyDescent="0.3">
      <c r="A10" s="168">
        <v>10</v>
      </c>
      <c r="B10" s="168" t="s">
        <v>606</v>
      </c>
      <c r="C10" s="168" t="s">
        <v>607</v>
      </c>
      <c r="D10" s="302">
        <v>2.25</v>
      </c>
      <c r="E10" s="168">
        <v>0.32</v>
      </c>
      <c r="F10" s="168" t="s">
        <v>644</v>
      </c>
      <c r="G10" s="168">
        <v>3.5000000000000003E-2</v>
      </c>
      <c r="H10" s="219" t="s">
        <v>644</v>
      </c>
      <c r="I10" s="220" t="s">
        <v>2380</v>
      </c>
      <c r="J10" s="227">
        <f>G10*E10</f>
        <v>1.1200000000000002E-2</v>
      </c>
      <c r="K10" s="227">
        <v>3.0000000000000001E-3</v>
      </c>
      <c r="L10" s="219">
        <v>7800</v>
      </c>
      <c r="M10" s="227">
        <f>K10*J10</f>
        <v>3.3600000000000004E-5</v>
      </c>
      <c r="N10" s="322">
        <f>L10*M10*D10</f>
        <v>0.58968000000000009</v>
      </c>
    </row>
    <row r="11" spans="1:14" s="178" customFormat="1" x14ac:dyDescent="0.3">
      <c r="M11" s="701" t="s">
        <v>547</v>
      </c>
      <c r="N11" s="717">
        <f>SUM(N10:N10)</f>
        <v>0.58968000000000009</v>
      </c>
    </row>
    <row r="13" spans="1:14" s="178" customFormat="1" x14ac:dyDescent="0.3">
      <c r="A13" s="715" t="s">
        <v>544</v>
      </c>
      <c r="B13" s="715" t="s">
        <v>548</v>
      </c>
      <c r="C13" s="715" t="s">
        <v>549</v>
      </c>
      <c r="D13" s="715" t="s">
        <v>550</v>
      </c>
      <c r="E13" s="715" t="s">
        <v>551</v>
      </c>
      <c r="F13" s="715" t="s">
        <v>28</v>
      </c>
      <c r="G13" s="715" t="s">
        <v>552</v>
      </c>
      <c r="H13" s="715" t="s">
        <v>553</v>
      </c>
      <c r="I13" s="715" t="s">
        <v>547</v>
      </c>
    </row>
    <row r="14" spans="1:14" ht="32.4" customHeight="1" x14ac:dyDescent="0.3">
      <c r="A14" s="184">
        <v>10</v>
      </c>
      <c r="B14" s="180" t="s">
        <v>589</v>
      </c>
      <c r="C14" s="193" t="s">
        <v>1035</v>
      </c>
      <c r="D14" s="284">
        <v>1.3</v>
      </c>
      <c r="E14" s="184"/>
      <c r="F14" s="184">
        <v>1</v>
      </c>
      <c r="G14" s="184"/>
      <c r="H14" s="184"/>
      <c r="I14" s="362">
        <f>F14*D14</f>
        <v>1.3</v>
      </c>
    </row>
    <row r="15" spans="1:14" s="248" customFormat="1" ht="31.2" customHeight="1" x14ac:dyDescent="0.3">
      <c r="A15" s="184">
        <v>20</v>
      </c>
      <c r="B15" s="180" t="s">
        <v>591</v>
      </c>
      <c r="C15" s="193" t="s">
        <v>2377</v>
      </c>
      <c r="D15" s="284">
        <v>0.01</v>
      </c>
      <c r="E15" s="184" t="s">
        <v>1037</v>
      </c>
      <c r="F15" s="184">
        <v>101</v>
      </c>
      <c r="G15" s="184" t="s">
        <v>598</v>
      </c>
      <c r="H15" s="184">
        <v>3</v>
      </c>
      <c r="I15" s="362">
        <f>F15*D15*H15</f>
        <v>3.0300000000000002</v>
      </c>
    </row>
    <row r="16" spans="1:14" x14ac:dyDescent="0.3">
      <c r="A16" s="168">
        <v>30</v>
      </c>
      <c r="B16" s="180" t="s">
        <v>702</v>
      </c>
      <c r="C16" s="171" t="s">
        <v>2381</v>
      </c>
      <c r="D16" s="323">
        <v>0.25</v>
      </c>
      <c r="E16" s="168" t="s">
        <v>704</v>
      </c>
      <c r="F16" s="168">
        <v>2</v>
      </c>
      <c r="G16" s="168"/>
      <c r="H16" s="168"/>
      <c r="I16" s="362">
        <f>F16*D16</f>
        <v>0.5</v>
      </c>
    </row>
    <row r="17" spans="1:9" s="178" customFormat="1" x14ac:dyDescent="0.3">
      <c r="A17" s="278"/>
      <c r="B17" s="278"/>
      <c r="C17" s="278"/>
      <c r="D17" s="278"/>
      <c r="E17" s="278"/>
      <c r="F17" s="278"/>
      <c r="G17" s="278"/>
      <c r="H17" s="716" t="s">
        <v>547</v>
      </c>
      <c r="I17" s="717">
        <f>SUM(I14:I16)</f>
        <v>4.83</v>
      </c>
    </row>
  </sheetData>
  <pageMargins left="0.5" right="0.5" top="0.75" bottom="0.75" header="0.3" footer="0.3"/>
  <pageSetup scale="63" orientation="landscape" r:id="rId1"/>
</worksheet>
</file>

<file path=xl/worksheets/sheet2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1.77734375" style="161" customWidth="1"/>
    <col min="3" max="3" width="18.77734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8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6.8867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N11+I17</f>
        <v>3.4722600000000003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337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347</v>
      </c>
      <c r="D4" s="698" t="s">
        <v>541</v>
      </c>
      <c r="J4" s="698" t="s">
        <v>538</v>
      </c>
      <c r="M4" s="698" t="s">
        <v>539</v>
      </c>
      <c r="N4" s="336">
        <f>N1*N2</f>
        <v>3.4722600000000003</v>
      </c>
    </row>
    <row r="5" spans="1:14" x14ac:dyDescent="0.3">
      <c r="A5" s="698" t="s">
        <v>537</v>
      </c>
      <c r="B5" s="199" t="s">
        <v>346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33" customHeight="1" x14ac:dyDescent="0.3">
      <c r="A10" s="168">
        <v>10</v>
      </c>
      <c r="B10" s="168" t="s">
        <v>606</v>
      </c>
      <c r="C10" s="168"/>
      <c r="D10" s="302">
        <v>2.25</v>
      </c>
      <c r="E10" s="168">
        <v>0.14000000000000001</v>
      </c>
      <c r="F10" s="168" t="s">
        <v>644</v>
      </c>
      <c r="G10" s="168">
        <v>0.06</v>
      </c>
      <c r="H10" s="219" t="s">
        <v>644</v>
      </c>
      <c r="I10" s="269" t="s">
        <v>2382</v>
      </c>
      <c r="J10" s="227">
        <f>G10*E10</f>
        <v>8.4000000000000012E-3</v>
      </c>
      <c r="K10" s="227">
        <v>3.0000000000000001E-3</v>
      </c>
      <c r="L10" s="219">
        <v>7800</v>
      </c>
      <c r="M10" s="227">
        <f>K10*J10</f>
        <v>2.5200000000000003E-5</v>
      </c>
      <c r="N10" s="322">
        <f>L10*M10*D10</f>
        <v>0.44226000000000004</v>
      </c>
    </row>
    <row r="11" spans="1:14" s="178" customFormat="1" x14ac:dyDescent="0.3">
      <c r="M11" s="701" t="s">
        <v>547</v>
      </c>
      <c r="N11" s="717">
        <f>SUM(N10:N10)</f>
        <v>0.44226000000000004</v>
      </c>
    </row>
    <row r="13" spans="1:14" s="178" customFormat="1" x14ac:dyDescent="0.3">
      <c r="A13" s="715" t="s">
        <v>544</v>
      </c>
      <c r="B13" s="715" t="s">
        <v>548</v>
      </c>
      <c r="C13" s="715" t="s">
        <v>549</v>
      </c>
      <c r="D13" s="715" t="s">
        <v>550</v>
      </c>
      <c r="E13" s="715" t="s">
        <v>551</v>
      </c>
      <c r="F13" s="715" t="s">
        <v>28</v>
      </c>
      <c r="G13" s="715" t="s">
        <v>552</v>
      </c>
      <c r="H13" s="715" t="s">
        <v>553</v>
      </c>
      <c r="I13" s="715" t="s">
        <v>547</v>
      </c>
    </row>
    <row r="14" spans="1:14" ht="32.4" customHeight="1" x14ac:dyDescent="0.3">
      <c r="A14" s="184">
        <v>10</v>
      </c>
      <c r="B14" s="180" t="s">
        <v>589</v>
      </c>
      <c r="C14" s="193" t="s">
        <v>1035</v>
      </c>
      <c r="D14" s="284">
        <v>1.3</v>
      </c>
      <c r="E14" s="184"/>
      <c r="F14" s="184">
        <v>1</v>
      </c>
      <c r="G14" s="184"/>
      <c r="H14" s="184"/>
      <c r="I14" s="362">
        <f>F14*D14</f>
        <v>1.3</v>
      </c>
    </row>
    <row r="15" spans="1:14" s="248" customFormat="1" ht="31.2" customHeight="1" x14ac:dyDescent="0.3">
      <c r="A15" s="184">
        <v>20</v>
      </c>
      <c r="B15" s="180" t="s">
        <v>591</v>
      </c>
      <c r="C15" s="193" t="s">
        <v>2377</v>
      </c>
      <c r="D15" s="284">
        <v>0.01</v>
      </c>
      <c r="E15" s="184" t="s">
        <v>1037</v>
      </c>
      <c r="F15" s="184">
        <v>41</v>
      </c>
      <c r="G15" s="184" t="s">
        <v>598</v>
      </c>
      <c r="H15" s="184">
        <v>3</v>
      </c>
      <c r="I15" s="362">
        <f>F15*D15*H15</f>
        <v>1.23</v>
      </c>
    </row>
    <row r="16" spans="1:14" x14ac:dyDescent="0.3">
      <c r="A16" s="168">
        <v>30</v>
      </c>
      <c r="B16" s="180" t="s">
        <v>702</v>
      </c>
      <c r="C16" s="171" t="s">
        <v>2381</v>
      </c>
      <c r="D16" s="323">
        <v>0.25</v>
      </c>
      <c r="E16" s="168" t="s">
        <v>704</v>
      </c>
      <c r="F16" s="168">
        <v>2</v>
      </c>
      <c r="G16" s="168"/>
      <c r="H16" s="168"/>
      <c r="I16" s="323">
        <f>D16*F16</f>
        <v>0.5</v>
      </c>
    </row>
    <row r="17" spans="1:9" s="178" customFormat="1" x14ac:dyDescent="0.3">
      <c r="A17" s="278"/>
      <c r="B17" s="278"/>
      <c r="C17" s="278"/>
      <c r="D17" s="278"/>
      <c r="E17" s="278"/>
      <c r="F17" s="278"/>
      <c r="G17" s="278"/>
      <c r="H17" s="716" t="s">
        <v>547</v>
      </c>
      <c r="I17" s="717">
        <f>SUM(I14:I16)</f>
        <v>3.0300000000000002</v>
      </c>
    </row>
  </sheetData>
  <pageMargins left="0.5" right="0.5" top="0.75" bottom="0.75" header="0.3" footer="0.3"/>
  <pageSetup scale="62" orientation="landscape" r:id="rId1"/>
</worksheet>
</file>

<file path=xl/worksheets/sheet2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3333CC"/>
    <pageSetUpPr fitToPage="1"/>
  </sheetPr>
  <dimension ref="A1:N14"/>
  <sheetViews>
    <sheetView showGridLines="0" workbookViewId="0"/>
  </sheetViews>
  <sheetFormatPr defaultColWidth="9.109375" defaultRowHeight="14.4" x14ac:dyDescent="0.3"/>
  <cols>
    <col min="1" max="1" width="12.5546875" style="161" customWidth="1"/>
    <col min="2" max="2" width="25.5546875" style="161" customWidth="1"/>
    <col min="3" max="3" width="31.21875" style="161" customWidth="1"/>
    <col min="4" max="4" width="12" style="161" customWidth="1"/>
    <col min="5" max="5" width="12.109375" style="161" customWidth="1"/>
    <col min="6" max="6" width="12" style="161" customWidth="1"/>
    <col min="7" max="7" width="11.88671875" style="161" customWidth="1"/>
    <col min="8" max="8" width="13.88671875" style="161" bestFit="1" customWidth="1"/>
    <col min="9" max="9" width="17.6640625" style="16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6.6640625" style="161" customWidth="1"/>
    <col min="14" max="14" width="11.6640625" style="161" customWidth="1"/>
    <col min="15" max="16384" width="9.109375" style="161"/>
  </cols>
  <sheetData>
    <row r="1" spans="1:14" x14ac:dyDescent="0.3">
      <c r="A1" s="693" t="s">
        <v>523</v>
      </c>
      <c r="B1" s="161" t="s">
        <v>524</v>
      </c>
      <c r="J1" s="693" t="s">
        <v>528</v>
      </c>
      <c r="K1" s="163">
        <v>81</v>
      </c>
      <c r="M1" s="693" t="s">
        <v>531</v>
      </c>
      <c r="N1" s="336">
        <f>E10+I14</f>
        <v>5.9899999999999993</v>
      </c>
    </row>
    <row r="2" spans="1:14" x14ac:dyDescent="0.3">
      <c r="A2" s="693" t="s">
        <v>532</v>
      </c>
      <c r="B2" s="161" t="s">
        <v>1434</v>
      </c>
      <c r="M2" s="693" t="s">
        <v>533</v>
      </c>
      <c r="N2" s="165">
        <v>1</v>
      </c>
    </row>
    <row r="3" spans="1:14" x14ac:dyDescent="0.3">
      <c r="A3" s="693" t="s">
        <v>534</v>
      </c>
      <c r="B3" s="161" t="s">
        <v>349</v>
      </c>
      <c r="J3" s="693" t="s">
        <v>536</v>
      </c>
    </row>
    <row r="4" spans="1:14" x14ac:dyDescent="0.3">
      <c r="A4" s="693" t="s">
        <v>537</v>
      </c>
      <c r="B4" s="166" t="s">
        <v>348</v>
      </c>
      <c r="J4" s="693" t="s">
        <v>538</v>
      </c>
      <c r="M4" s="693" t="s">
        <v>539</v>
      </c>
      <c r="N4" s="336">
        <f>N1*N2</f>
        <v>5.9899999999999993</v>
      </c>
    </row>
    <row r="5" spans="1:14" x14ac:dyDescent="0.3">
      <c r="A5" s="693" t="s">
        <v>540</v>
      </c>
      <c r="B5" s="161" t="s">
        <v>36</v>
      </c>
      <c r="J5" s="693" t="s">
        <v>541</v>
      </c>
    </row>
    <row r="6" spans="1:14" x14ac:dyDescent="0.3">
      <c r="A6" s="693" t="s">
        <v>542</v>
      </c>
    </row>
    <row r="8" spans="1:14" x14ac:dyDescent="0.3">
      <c r="A8" s="694" t="s">
        <v>544</v>
      </c>
      <c r="B8" s="694" t="s">
        <v>545</v>
      </c>
      <c r="C8" s="694" t="s">
        <v>546</v>
      </c>
      <c r="D8" s="694" t="s">
        <v>28</v>
      </c>
      <c r="E8" s="694" t="s">
        <v>547</v>
      </c>
    </row>
    <row r="9" spans="1:14" x14ac:dyDescent="0.3">
      <c r="A9" s="168">
        <v>10</v>
      </c>
      <c r="B9" s="168" t="s">
        <v>351</v>
      </c>
      <c r="C9" s="322">
        <v>2.8699999999999997</v>
      </c>
      <c r="D9" s="168">
        <v>2</v>
      </c>
      <c r="E9" s="323">
        <f>C9*D9</f>
        <v>5.7399999999999993</v>
      </c>
    </row>
    <row r="10" spans="1:14" x14ac:dyDescent="0.3">
      <c r="D10" s="695" t="s">
        <v>547</v>
      </c>
      <c r="E10" s="696">
        <f>SUM(E9:E9)</f>
        <v>5.7399999999999993</v>
      </c>
    </row>
    <row r="12" spans="1:14" s="178" customFormat="1" x14ac:dyDescent="0.3">
      <c r="A12" s="694" t="s">
        <v>544</v>
      </c>
      <c r="B12" s="694" t="s">
        <v>548</v>
      </c>
      <c r="C12" s="694" t="s">
        <v>549</v>
      </c>
      <c r="D12" s="694" t="s">
        <v>550</v>
      </c>
      <c r="E12" s="694" t="s">
        <v>551</v>
      </c>
      <c r="F12" s="694" t="s">
        <v>28</v>
      </c>
      <c r="G12" s="694" t="s">
        <v>552</v>
      </c>
      <c r="H12" s="694" t="s">
        <v>553</v>
      </c>
      <c r="I12" s="694" t="s">
        <v>547</v>
      </c>
    </row>
    <row r="13" spans="1:14" x14ac:dyDescent="0.3">
      <c r="A13" s="168">
        <v>10</v>
      </c>
      <c r="B13" s="180" t="s">
        <v>749</v>
      </c>
      <c r="C13" s="718" t="s">
        <v>2383</v>
      </c>
      <c r="D13" s="243">
        <v>0.125</v>
      </c>
      <c r="E13" s="180" t="s">
        <v>556</v>
      </c>
      <c r="F13" s="168">
        <v>2</v>
      </c>
      <c r="G13" s="168"/>
      <c r="H13" s="168">
        <v>1</v>
      </c>
      <c r="I13" s="323">
        <f>D13*F13*H13</f>
        <v>0.25</v>
      </c>
    </row>
    <row r="14" spans="1:14" s="178" customFormat="1" x14ac:dyDescent="0.3">
      <c r="H14" s="695" t="s">
        <v>547</v>
      </c>
      <c r="I14" s="696">
        <f>SUM(I13:I13)</f>
        <v>0.25</v>
      </c>
    </row>
  </sheetData>
  <pageMargins left="0.5" right="0.5" top="0.75" bottom="0.75" header="0.3" footer="0.3"/>
  <pageSetup paperSize="9" scale="65" orientation="landscape" r:id="rId1"/>
</worksheet>
</file>

<file path=xl/worksheets/sheet2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208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4.44140625" style="161" customWidth="1"/>
    <col min="3" max="3" width="25.21875" style="161" customWidth="1"/>
    <col min="4" max="4" width="13.5546875" style="161" bestFit="1" customWidth="1"/>
    <col min="5" max="5" width="10.664062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5546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N12+I16</f>
        <v>2.8699999999999997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2</v>
      </c>
    </row>
    <row r="3" spans="1:14" x14ac:dyDescent="0.3">
      <c r="A3" s="698" t="s">
        <v>534</v>
      </c>
      <c r="B3" s="161" t="s">
        <v>349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351</v>
      </c>
      <c r="D4" s="698" t="s">
        <v>541</v>
      </c>
      <c r="J4" s="698" t="s">
        <v>538</v>
      </c>
      <c r="M4" s="698" t="s">
        <v>539</v>
      </c>
      <c r="N4" s="336">
        <f>N1*N2</f>
        <v>5.7399999999999993</v>
      </c>
    </row>
    <row r="5" spans="1:14" x14ac:dyDescent="0.3">
      <c r="A5" s="698" t="s">
        <v>537</v>
      </c>
      <c r="B5" s="199" t="s">
        <v>350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x14ac:dyDescent="0.3">
      <c r="A10" s="168">
        <v>10</v>
      </c>
      <c r="B10" s="168" t="s">
        <v>2384</v>
      </c>
      <c r="C10" s="168"/>
      <c r="D10" s="323">
        <v>0.05</v>
      </c>
      <c r="E10" s="168">
        <v>30</v>
      </c>
      <c r="F10" s="168" t="s">
        <v>593</v>
      </c>
      <c r="G10" s="168"/>
      <c r="H10" s="219"/>
      <c r="I10" s="220"/>
      <c r="J10" s="221"/>
      <c r="K10" s="219"/>
      <c r="L10" s="219"/>
      <c r="M10" s="168">
        <v>1</v>
      </c>
      <c r="N10" s="322">
        <f>IF(J10="",D10*M10,D10*J10*K10*L10*M10)</f>
        <v>0.05</v>
      </c>
    </row>
    <row r="11" spans="1:14" ht="28.8" x14ac:dyDescent="0.3">
      <c r="A11" s="168">
        <v>20</v>
      </c>
      <c r="B11" s="168" t="s">
        <v>1024</v>
      </c>
      <c r="C11" s="184" t="s">
        <v>2385</v>
      </c>
      <c r="D11" s="323">
        <v>0</v>
      </c>
      <c r="E11" s="168"/>
      <c r="F11" s="168"/>
      <c r="G11" s="168"/>
      <c r="H11" s="219"/>
      <c r="I11" s="220"/>
      <c r="J11" s="221"/>
      <c r="K11" s="219"/>
      <c r="L11" s="219"/>
      <c r="M11" s="168"/>
      <c r="N11" s="322">
        <f>IF(J11="",D11*M11,D11*J11*K11*L11*M11)</f>
        <v>0</v>
      </c>
    </row>
    <row r="12" spans="1:14" s="178" customFormat="1" x14ac:dyDescent="0.3">
      <c r="M12" s="701" t="s">
        <v>547</v>
      </c>
      <c r="N12" s="702">
        <f>SUM(N10:N10)</f>
        <v>0.05</v>
      </c>
    </row>
    <row r="14" spans="1:14" s="178" customFormat="1" x14ac:dyDescent="0.3">
      <c r="A14" s="700" t="s">
        <v>544</v>
      </c>
      <c r="B14" s="700" t="s">
        <v>548</v>
      </c>
      <c r="C14" s="700" t="s">
        <v>549</v>
      </c>
      <c r="D14" s="700" t="s">
        <v>550</v>
      </c>
      <c r="E14" s="700" t="s">
        <v>551</v>
      </c>
      <c r="F14" s="700" t="s">
        <v>28</v>
      </c>
      <c r="G14" s="700" t="s">
        <v>552</v>
      </c>
      <c r="H14" s="700" t="s">
        <v>553</v>
      </c>
      <c r="I14" s="700" t="s">
        <v>547</v>
      </c>
    </row>
    <row r="15" spans="1:14" x14ac:dyDescent="0.3">
      <c r="A15" s="168">
        <v>10</v>
      </c>
      <c r="B15" s="180" t="s">
        <v>954</v>
      </c>
      <c r="C15" s="171" t="s">
        <v>2386</v>
      </c>
      <c r="D15" s="243">
        <v>0.02</v>
      </c>
      <c r="E15" s="180" t="s">
        <v>852</v>
      </c>
      <c r="F15" s="168">
        <v>141</v>
      </c>
      <c r="G15" s="168"/>
      <c r="H15" s="168"/>
      <c r="I15" s="323">
        <f>IF('MS 04001'!$H15&lt;&gt;"",'MS 04001'!$D15*'MS 04001'!$F15*'MS 04001'!$H15,'MS 04001'!$D15*'MS 04001'!$F15)</f>
        <v>2.82</v>
      </c>
    </row>
    <row r="16" spans="1:14" s="178" customFormat="1" x14ac:dyDescent="0.3">
      <c r="H16" s="703" t="s">
        <v>547</v>
      </c>
      <c r="I16" s="702">
        <f>SUM(I15:I15)</f>
        <v>2.82</v>
      </c>
    </row>
    <row r="18" spans="8:9" x14ac:dyDescent="0.3">
      <c r="H18" s="326"/>
      <c r="I18" s="325"/>
    </row>
    <row r="71" spans="1:8" x14ac:dyDescent="0.3">
      <c r="A71" s="161" t="e">
        <f>#REF!</f>
        <v>#REF!</v>
      </c>
      <c r="B71" s="161" t="e">
        <f>#REF!</f>
        <v>#REF!</v>
      </c>
      <c r="C71" s="161" t="e">
        <f>#REF!</f>
        <v>#REF!</v>
      </c>
      <c r="D71" s="161" t="e">
        <f>#REF!</f>
        <v>#REF!</v>
      </c>
      <c r="E71" s="161" t="e">
        <f>#REF!</f>
        <v>#REF!</v>
      </c>
      <c r="F71" s="161" t="e">
        <f>#REF!</f>
        <v>#REF!</v>
      </c>
      <c r="G71" s="161" t="e">
        <f>#REF!</f>
        <v>#REF!</v>
      </c>
      <c r="H71" s="161" t="e">
        <f>#REF!</f>
        <v>#REF!</v>
      </c>
    </row>
    <row r="72" spans="1:8" x14ac:dyDescent="0.3">
      <c r="A72" s="161" t="e">
        <f>#REF!</f>
        <v>#REF!</v>
      </c>
      <c r="B72" s="161" t="e">
        <f>#REF!</f>
        <v>#REF!</v>
      </c>
      <c r="C72" s="161" t="e">
        <f>#REF!</f>
        <v>#REF!</v>
      </c>
      <c r="D72" s="161" t="e">
        <f>#REF!</f>
        <v>#REF!</v>
      </c>
      <c r="E72" s="161" t="e">
        <f>#REF!</f>
        <v>#REF!</v>
      </c>
      <c r="F72" s="161" t="e">
        <f>#REF!</f>
        <v>#REF!</v>
      </c>
      <c r="G72" s="161" t="e">
        <f>#REF!</f>
        <v>#REF!</v>
      </c>
      <c r="H72" s="161" t="e">
        <f>#REF!</f>
        <v>#REF!</v>
      </c>
    </row>
    <row r="73" spans="1:8" x14ac:dyDescent="0.3">
      <c r="A73" s="161" t="e">
        <f>#REF!</f>
        <v>#REF!</v>
      </c>
      <c r="B73" s="161" t="e">
        <f>#REF!</f>
        <v>#REF!</v>
      </c>
      <c r="C73" s="161" t="e">
        <f>#REF!</f>
        <v>#REF!</v>
      </c>
      <c r="D73" s="161" t="e">
        <f>#REF!</f>
        <v>#REF!</v>
      </c>
      <c r="E73" s="161" t="e">
        <f>#REF!</f>
        <v>#REF!</v>
      </c>
      <c r="F73" s="161" t="e">
        <f>#REF!</f>
        <v>#REF!</v>
      </c>
      <c r="G73" s="161" t="e">
        <f>#REF!</f>
        <v>#REF!</v>
      </c>
      <c r="H73" s="161" t="e">
        <f>#REF!</f>
        <v>#REF!</v>
      </c>
    </row>
    <row r="74" spans="1:8" x14ac:dyDescent="0.3">
      <c r="A74" s="161" t="e">
        <f>#REF!</f>
        <v>#REF!</v>
      </c>
      <c r="B74" s="161" t="e">
        <f>#REF!</f>
        <v>#REF!</v>
      </c>
      <c r="C74" s="161" t="e">
        <f>#REF!</f>
        <v>#REF!</v>
      </c>
      <c r="D74" s="161" t="e">
        <f>#REF!</f>
        <v>#REF!</v>
      </c>
      <c r="E74" s="161" t="e">
        <f>#REF!</f>
        <v>#REF!</v>
      </c>
      <c r="F74" s="161" t="e">
        <f>#REF!</f>
        <v>#REF!</v>
      </c>
      <c r="G74" s="161" t="e">
        <f>#REF!</f>
        <v>#REF!</v>
      </c>
      <c r="H74" s="161" t="e">
        <f>#REF!</f>
        <v>#REF!</v>
      </c>
    </row>
    <row r="75" spans="1:8" x14ac:dyDescent="0.3">
      <c r="A75" s="161" t="e">
        <f>#REF!</f>
        <v>#REF!</v>
      </c>
      <c r="B75" s="161" t="e">
        <f>#REF!</f>
        <v>#REF!</v>
      </c>
      <c r="C75" s="161" t="e">
        <f>#REF!</f>
        <v>#REF!</v>
      </c>
      <c r="D75" s="161" t="e">
        <f>#REF!</f>
        <v>#REF!</v>
      </c>
      <c r="E75" s="161" t="e">
        <f>#REF!</f>
        <v>#REF!</v>
      </c>
      <c r="F75" s="161" t="e">
        <f>#REF!</f>
        <v>#REF!</v>
      </c>
      <c r="G75" s="161" t="e">
        <f>#REF!</f>
        <v>#REF!</v>
      </c>
      <c r="H75" s="161" t="e">
        <f>#REF!</f>
        <v>#REF!</v>
      </c>
    </row>
    <row r="76" spans="1:8" x14ac:dyDescent="0.3">
      <c r="A76" s="161" t="e">
        <f>#REF!</f>
        <v>#REF!</v>
      </c>
      <c r="B76" s="161" t="e">
        <f>#REF!</f>
        <v>#REF!</v>
      </c>
      <c r="C76" s="161" t="e">
        <f>#REF!</f>
        <v>#REF!</v>
      </c>
      <c r="D76" s="161" t="e">
        <f>#REF!</f>
        <v>#REF!</v>
      </c>
      <c r="E76" s="161" t="e">
        <f>#REF!</f>
        <v>#REF!</v>
      </c>
      <c r="F76" s="161" t="e">
        <f>#REF!</f>
        <v>#REF!</v>
      </c>
      <c r="G76" s="161" t="e">
        <f>#REF!</f>
        <v>#REF!</v>
      </c>
      <c r="H76" s="161" t="e">
        <f>#REF!</f>
        <v>#REF!</v>
      </c>
    </row>
    <row r="77" spans="1:8" x14ac:dyDescent="0.3">
      <c r="A77" s="161" t="e">
        <f>#REF!</f>
        <v>#REF!</v>
      </c>
      <c r="B77" s="161" t="e">
        <f>#REF!</f>
        <v>#REF!</v>
      </c>
      <c r="C77" s="161" t="e">
        <f>#REF!</f>
        <v>#REF!</v>
      </c>
      <c r="D77" s="161" t="e">
        <f>#REF!</f>
        <v>#REF!</v>
      </c>
      <c r="E77" s="161" t="e">
        <f>#REF!</f>
        <v>#REF!</v>
      </c>
      <c r="F77" s="161" t="e">
        <f>#REF!</f>
        <v>#REF!</v>
      </c>
      <c r="G77" s="161" t="e">
        <f>#REF!</f>
        <v>#REF!</v>
      </c>
      <c r="H77" s="161" t="e">
        <f>#REF!</f>
        <v>#REF!</v>
      </c>
    </row>
    <row r="78" spans="1:8" x14ac:dyDescent="0.3">
      <c r="A78" s="161" t="e">
        <f>#REF!</f>
        <v>#REF!</v>
      </c>
      <c r="B78" s="161" t="e">
        <f>#REF!</f>
        <v>#REF!</v>
      </c>
      <c r="C78" s="161" t="e">
        <f>#REF!</f>
        <v>#REF!</v>
      </c>
      <c r="D78" s="161" t="e">
        <f>#REF!</f>
        <v>#REF!</v>
      </c>
      <c r="E78" s="161" t="e">
        <f>#REF!</f>
        <v>#REF!</v>
      </c>
      <c r="F78" s="161" t="e">
        <f>#REF!</f>
        <v>#REF!</v>
      </c>
      <c r="G78" s="161" t="e">
        <f>#REF!</f>
        <v>#REF!</v>
      </c>
      <c r="H78" s="161" t="e">
        <f>#REF!</f>
        <v>#REF!</v>
      </c>
    </row>
    <row r="79" spans="1:8" x14ac:dyDescent="0.3">
      <c r="A79" s="161" t="e">
        <f>#REF!</f>
        <v>#REF!</v>
      </c>
      <c r="B79" s="161" t="e">
        <f>#REF!</f>
        <v>#REF!</v>
      </c>
      <c r="C79" s="161" t="e">
        <f>#REF!</f>
        <v>#REF!</v>
      </c>
      <c r="D79" s="161" t="e">
        <f>#REF!</f>
        <v>#REF!</v>
      </c>
      <c r="E79" s="161" t="e">
        <f>#REF!</f>
        <v>#REF!</v>
      </c>
      <c r="F79" s="161" t="e">
        <f>#REF!</f>
        <v>#REF!</v>
      </c>
      <c r="G79" s="161" t="e">
        <f>#REF!</f>
        <v>#REF!</v>
      </c>
      <c r="H79" s="161" t="e">
        <f>#REF!</f>
        <v>#REF!</v>
      </c>
    </row>
    <row r="80" spans="1:8" x14ac:dyDescent="0.3">
      <c r="A80" s="161" t="e">
        <f>#REF!</f>
        <v>#REF!</v>
      </c>
      <c r="B80" s="161" t="e">
        <f>#REF!</f>
        <v>#REF!</v>
      </c>
      <c r="C80" s="161" t="e">
        <f>#REF!</f>
        <v>#REF!</v>
      </c>
      <c r="D80" s="161" t="e">
        <f>#REF!</f>
        <v>#REF!</v>
      </c>
      <c r="E80" s="161" t="e">
        <f>#REF!</f>
        <v>#REF!</v>
      </c>
      <c r="F80" s="161" t="e">
        <f>#REF!</f>
        <v>#REF!</v>
      </c>
      <c r="G80" s="161" t="e">
        <f>#REF!</f>
        <v>#REF!</v>
      </c>
      <c r="H80" s="161" t="e">
        <f>#REF!</f>
        <v>#REF!</v>
      </c>
    </row>
    <row r="81" spans="1:8" x14ac:dyDescent="0.3">
      <c r="A81" s="161" t="e">
        <f>#REF!</f>
        <v>#REF!</v>
      </c>
      <c r="B81" s="161" t="e">
        <f>#REF!</f>
        <v>#REF!</v>
      </c>
      <c r="C81" s="161" t="e">
        <f>#REF!</f>
        <v>#REF!</v>
      </c>
      <c r="D81" s="161" t="e">
        <f>#REF!</f>
        <v>#REF!</v>
      </c>
      <c r="E81" s="161" t="e">
        <f>#REF!</f>
        <v>#REF!</v>
      </c>
      <c r="F81" s="161" t="e">
        <f>#REF!</f>
        <v>#REF!</v>
      </c>
      <c r="G81" s="161" t="e">
        <f>#REF!</f>
        <v>#REF!</v>
      </c>
      <c r="H81" s="161" t="e">
        <f>#REF!</f>
        <v>#REF!</v>
      </c>
    </row>
    <row r="82" spans="1:8" x14ac:dyDescent="0.3">
      <c r="A82" s="161" t="e">
        <f>#REF!</f>
        <v>#REF!</v>
      </c>
      <c r="B82" s="161" t="e">
        <f>#REF!</f>
        <v>#REF!</v>
      </c>
      <c r="C82" s="161" t="e">
        <f>#REF!</f>
        <v>#REF!</v>
      </c>
      <c r="D82" s="161" t="e">
        <f>#REF!</f>
        <v>#REF!</v>
      </c>
      <c r="E82" s="161" t="e">
        <f>#REF!</f>
        <v>#REF!</v>
      </c>
      <c r="F82" s="161" t="e">
        <f>#REF!</f>
        <v>#REF!</v>
      </c>
      <c r="G82" s="161" t="e">
        <f>#REF!</f>
        <v>#REF!</v>
      </c>
      <c r="H82" s="161" t="e">
        <f>#REF!</f>
        <v>#REF!</v>
      </c>
    </row>
    <row r="83" spans="1:8" x14ac:dyDescent="0.3">
      <c r="A83" s="161" t="e">
        <f>#REF!</f>
        <v>#REF!</v>
      </c>
      <c r="B83" s="161" t="e">
        <f>#REF!</f>
        <v>#REF!</v>
      </c>
      <c r="C83" s="161" t="e">
        <f>#REF!</f>
        <v>#REF!</v>
      </c>
      <c r="D83" s="161" t="e">
        <f>#REF!</f>
        <v>#REF!</v>
      </c>
      <c r="E83" s="161" t="e">
        <f>#REF!</f>
        <v>#REF!</v>
      </c>
      <c r="F83" s="161" t="e">
        <f>#REF!</f>
        <v>#REF!</v>
      </c>
      <c r="G83" s="161" t="e">
        <f>#REF!</f>
        <v>#REF!</v>
      </c>
      <c r="H83" s="161" t="e">
        <f>#REF!</f>
        <v>#REF!</v>
      </c>
    </row>
    <row r="84" spans="1:8" x14ac:dyDescent="0.3">
      <c r="A84" s="161" t="e">
        <f>#REF!</f>
        <v>#REF!</v>
      </c>
      <c r="B84" s="161" t="e">
        <f>#REF!</f>
        <v>#REF!</v>
      </c>
      <c r="C84" s="161" t="e">
        <f>#REF!</f>
        <v>#REF!</v>
      </c>
      <c r="D84" s="161" t="e">
        <f>#REF!</f>
        <v>#REF!</v>
      </c>
      <c r="E84" s="161" t="e">
        <f>#REF!</f>
        <v>#REF!</v>
      </c>
      <c r="F84" s="161" t="e">
        <f>#REF!</f>
        <v>#REF!</v>
      </c>
      <c r="G84" s="161" t="e">
        <f>#REF!</f>
        <v>#REF!</v>
      </c>
      <c r="H84" s="161" t="e">
        <f>#REF!</f>
        <v>#REF!</v>
      </c>
    </row>
    <row r="85" spans="1:8" x14ac:dyDescent="0.3">
      <c r="A85" s="161" t="e">
        <f>#REF!</f>
        <v>#REF!</v>
      </c>
      <c r="B85" s="161" t="e">
        <f>#REF!</f>
        <v>#REF!</v>
      </c>
      <c r="C85" s="161" t="e">
        <f>#REF!</f>
        <v>#REF!</v>
      </c>
      <c r="D85" s="161" t="e">
        <f>#REF!</f>
        <v>#REF!</v>
      </c>
      <c r="E85" s="161" t="e">
        <f>#REF!</f>
        <v>#REF!</v>
      </c>
      <c r="F85" s="161" t="e">
        <f>#REF!</f>
        <v>#REF!</v>
      </c>
      <c r="G85" s="161" t="e">
        <f>#REF!</f>
        <v>#REF!</v>
      </c>
      <c r="H85" s="161" t="e">
        <f>#REF!</f>
        <v>#REF!</v>
      </c>
    </row>
    <row r="86" spans="1:8" x14ac:dyDescent="0.3">
      <c r="A86" s="161" t="e">
        <f>#REF!</f>
        <v>#REF!</v>
      </c>
      <c r="B86" s="161" t="e">
        <f>#REF!</f>
        <v>#REF!</v>
      </c>
      <c r="C86" s="161" t="e">
        <f>#REF!</f>
        <v>#REF!</v>
      </c>
      <c r="D86" s="161" t="e">
        <f>#REF!</f>
        <v>#REF!</v>
      </c>
      <c r="E86" s="161" t="e">
        <f>#REF!</f>
        <v>#REF!</v>
      </c>
      <c r="F86" s="161" t="e">
        <f>#REF!</f>
        <v>#REF!</v>
      </c>
      <c r="G86" s="161" t="e">
        <f>#REF!</f>
        <v>#REF!</v>
      </c>
      <c r="H86" s="161" t="e">
        <f>#REF!</f>
        <v>#REF!</v>
      </c>
    </row>
    <row r="87" spans="1:8" x14ac:dyDescent="0.3">
      <c r="A87" s="161" t="e">
        <f>#REF!</f>
        <v>#REF!</v>
      </c>
      <c r="B87" s="161" t="e">
        <f>#REF!</f>
        <v>#REF!</v>
      </c>
      <c r="C87" s="161" t="e">
        <f>#REF!</f>
        <v>#REF!</v>
      </c>
      <c r="D87" s="161" t="e">
        <f>#REF!</f>
        <v>#REF!</v>
      </c>
      <c r="E87" s="161" t="e">
        <f>#REF!</f>
        <v>#REF!</v>
      </c>
      <c r="F87" s="161" t="e">
        <f>#REF!</f>
        <v>#REF!</v>
      </c>
      <c r="G87" s="161" t="e">
        <f>#REF!</f>
        <v>#REF!</v>
      </c>
      <c r="H87" s="161" t="e">
        <f>#REF!</f>
        <v>#REF!</v>
      </c>
    </row>
    <row r="88" spans="1:8" x14ac:dyDescent="0.3">
      <c r="A88" s="161" t="e">
        <f>#REF!</f>
        <v>#REF!</v>
      </c>
      <c r="B88" s="161" t="e">
        <f>#REF!</f>
        <v>#REF!</v>
      </c>
      <c r="C88" s="161" t="e">
        <f>#REF!</f>
        <v>#REF!</v>
      </c>
      <c r="D88" s="161" t="e">
        <f>#REF!</f>
        <v>#REF!</v>
      </c>
      <c r="E88" s="161" t="e">
        <f>#REF!</f>
        <v>#REF!</v>
      </c>
      <c r="F88" s="161" t="e">
        <f>#REF!</f>
        <v>#REF!</v>
      </c>
      <c r="G88" s="161" t="e">
        <f>#REF!</f>
        <v>#REF!</v>
      </c>
      <c r="H88" s="161" t="e">
        <f>#REF!</f>
        <v>#REF!</v>
      </c>
    </row>
    <row r="89" spans="1:8" x14ac:dyDescent="0.3">
      <c r="A89" s="161" t="e">
        <f>#REF!</f>
        <v>#REF!</v>
      </c>
      <c r="B89" s="161" t="e">
        <f>#REF!</f>
        <v>#REF!</v>
      </c>
      <c r="C89" s="161" t="e">
        <f>#REF!</f>
        <v>#REF!</v>
      </c>
      <c r="D89" s="161" t="e">
        <f>#REF!</f>
        <v>#REF!</v>
      </c>
      <c r="E89" s="161" t="e">
        <f>#REF!</f>
        <v>#REF!</v>
      </c>
      <c r="F89" s="161" t="e">
        <f>#REF!</f>
        <v>#REF!</v>
      </c>
      <c r="G89" s="161" t="e">
        <f>#REF!</f>
        <v>#REF!</v>
      </c>
      <c r="H89" s="161" t="e">
        <f>#REF!</f>
        <v>#REF!</v>
      </c>
    </row>
    <row r="90" spans="1:8" x14ac:dyDescent="0.3">
      <c r="A90" s="161" t="e">
        <f>#REF!</f>
        <v>#REF!</v>
      </c>
      <c r="B90" s="161" t="e">
        <f>#REF!</f>
        <v>#REF!</v>
      </c>
      <c r="C90" s="161" t="e">
        <f>#REF!</f>
        <v>#REF!</v>
      </c>
      <c r="D90" s="161" t="e">
        <f>#REF!</f>
        <v>#REF!</v>
      </c>
      <c r="E90" s="161" t="e">
        <f>#REF!</f>
        <v>#REF!</v>
      </c>
      <c r="F90" s="161" t="e">
        <f>#REF!</f>
        <v>#REF!</v>
      </c>
      <c r="G90" s="161" t="e">
        <f>#REF!</f>
        <v>#REF!</v>
      </c>
      <c r="H90" s="161" t="e">
        <f>#REF!</f>
        <v>#REF!</v>
      </c>
    </row>
    <row r="91" spans="1:8" x14ac:dyDescent="0.3">
      <c r="A91" s="161" t="e">
        <f>#REF!</f>
        <v>#REF!</v>
      </c>
      <c r="B91" s="161" t="e">
        <f>#REF!</f>
        <v>#REF!</v>
      </c>
      <c r="C91" s="161" t="e">
        <f>#REF!</f>
        <v>#REF!</v>
      </c>
      <c r="D91" s="161" t="e">
        <f>#REF!</f>
        <v>#REF!</v>
      </c>
      <c r="E91" s="161" t="e">
        <f>#REF!</f>
        <v>#REF!</v>
      </c>
      <c r="F91" s="161" t="e">
        <f>#REF!</f>
        <v>#REF!</v>
      </c>
      <c r="G91" s="161" t="e">
        <f>#REF!</f>
        <v>#REF!</v>
      </c>
      <c r="H91" s="161" t="e">
        <f>#REF!</f>
        <v>#REF!</v>
      </c>
    </row>
    <row r="92" spans="1:8" x14ac:dyDescent="0.3">
      <c r="A92" s="161" t="e">
        <f>#REF!</f>
        <v>#REF!</v>
      </c>
      <c r="B92" s="161" t="e">
        <f>#REF!</f>
        <v>#REF!</v>
      </c>
      <c r="C92" s="161" t="e">
        <f>#REF!</f>
        <v>#REF!</v>
      </c>
      <c r="D92" s="161" t="e">
        <f>#REF!</f>
        <v>#REF!</v>
      </c>
      <c r="E92" s="161" t="e">
        <f>#REF!</f>
        <v>#REF!</v>
      </c>
      <c r="F92" s="161" t="e">
        <f>#REF!</f>
        <v>#REF!</v>
      </c>
      <c r="G92" s="161" t="e">
        <f>#REF!</f>
        <v>#REF!</v>
      </c>
      <c r="H92" s="161" t="e">
        <f>#REF!</f>
        <v>#REF!</v>
      </c>
    </row>
    <row r="93" spans="1:8" x14ac:dyDescent="0.3">
      <c r="A93" s="161" t="e">
        <f>#REF!</f>
        <v>#REF!</v>
      </c>
      <c r="B93" s="161" t="e">
        <f>#REF!</f>
        <v>#REF!</v>
      </c>
      <c r="C93" s="161" t="e">
        <f>#REF!</f>
        <v>#REF!</v>
      </c>
      <c r="D93" s="161" t="e">
        <f>#REF!</f>
        <v>#REF!</v>
      </c>
      <c r="E93" s="161" t="e">
        <f>#REF!</f>
        <v>#REF!</v>
      </c>
      <c r="F93" s="161" t="e">
        <f>#REF!</f>
        <v>#REF!</v>
      </c>
      <c r="G93" s="161" t="e">
        <f>#REF!</f>
        <v>#REF!</v>
      </c>
      <c r="H93" s="161" t="e">
        <f>#REF!</f>
        <v>#REF!</v>
      </c>
    </row>
    <row r="94" spans="1:8" x14ac:dyDescent="0.3">
      <c r="A94" s="161" t="e">
        <f>#REF!</f>
        <v>#REF!</v>
      </c>
      <c r="B94" s="161" t="e">
        <f>#REF!</f>
        <v>#REF!</v>
      </c>
      <c r="C94" s="161" t="e">
        <f>#REF!</f>
        <v>#REF!</v>
      </c>
      <c r="D94" s="161" t="e">
        <f>#REF!</f>
        <v>#REF!</v>
      </c>
      <c r="E94" s="161" t="e">
        <f>#REF!</f>
        <v>#REF!</v>
      </c>
      <c r="F94" s="161" t="e">
        <f>#REF!</f>
        <v>#REF!</v>
      </c>
      <c r="G94" s="161" t="e">
        <f>#REF!</f>
        <v>#REF!</v>
      </c>
      <c r="H94" s="161" t="e">
        <f>#REF!</f>
        <v>#REF!</v>
      </c>
    </row>
    <row r="95" spans="1:8" x14ac:dyDescent="0.3">
      <c r="A95" s="161" t="e">
        <f>#REF!</f>
        <v>#REF!</v>
      </c>
      <c r="B95" s="161" t="e">
        <f>#REF!</f>
        <v>#REF!</v>
      </c>
      <c r="C95" s="161" t="e">
        <f>#REF!</f>
        <v>#REF!</v>
      </c>
      <c r="D95" s="161" t="e">
        <f>#REF!</f>
        <v>#REF!</v>
      </c>
      <c r="E95" s="161" t="e">
        <f>#REF!</f>
        <v>#REF!</v>
      </c>
      <c r="F95" s="161" t="e">
        <f>#REF!</f>
        <v>#REF!</v>
      </c>
      <c r="G95" s="161" t="e">
        <f>#REF!</f>
        <v>#REF!</v>
      </c>
      <c r="H95" s="161" t="e">
        <f>#REF!</f>
        <v>#REF!</v>
      </c>
    </row>
    <row r="96" spans="1:8" x14ac:dyDescent="0.3">
      <c r="A96" s="161" t="e">
        <f>#REF!</f>
        <v>#REF!</v>
      </c>
      <c r="B96" s="161" t="e">
        <f>#REF!</f>
        <v>#REF!</v>
      </c>
      <c r="C96" s="161" t="e">
        <f>#REF!</f>
        <v>#REF!</v>
      </c>
      <c r="D96" s="161" t="e">
        <f>#REF!</f>
        <v>#REF!</v>
      </c>
      <c r="E96" s="161" t="e">
        <f>#REF!</f>
        <v>#REF!</v>
      </c>
      <c r="F96" s="161" t="e">
        <f>#REF!</f>
        <v>#REF!</v>
      </c>
      <c r="G96" s="161" t="e">
        <f>#REF!</f>
        <v>#REF!</v>
      </c>
      <c r="H96" s="161" t="e">
        <f>#REF!</f>
        <v>#REF!</v>
      </c>
    </row>
    <row r="97" spans="1:8" x14ac:dyDescent="0.3">
      <c r="A97" s="161" t="e">
        <f>#REF!</f>
        <v>#REF!</v>
      </c>
      <c r="B97" s="161" t="e">
        <f>#REF!</f>
        <v>#REF!</v>
      </c>
      <c r="C97" s="161" t="e">
        <f>#REF!</f>
        <v>#REF!</v>
      </c>
      <c r="D97" s="161" t="e">
        <f>#REF!</f>
        <v>#REF!</v>
      </c>
      <c r="E97" s="161" t="e">
        <f>#REF!</f>
        <v>#REF!</v>
      </c>
      <c r="F97" s="161" t="e">
        <f>#REF!</f>
        <v>#REF!</v>
      </c>
      <c r="G97" s="161" t="e">
        <f>#REF!</f>
        <v>#REF!</v>
      </c>
      <c r="H97" s="161" t="e">
        <f>#REF!</f>
        <v>#REF!</v>
      </c>
    </row>
    <row r="98" spans="1:8" x14ac:dyDescent="0.3">
      <c r="A98" s="161" t="e">
        <f>#REF!</f>
        <v>#REF!</v>
      </c>
      <c r="B98" s="161" t="e">
        <f>#REF!</f>
        <v>#REF!</v>
      </c>
      <c r="C98" s="161" t="e">
        <f>#REF!</f>
        <v>#REF!</v>
      </c>
      <c r="D98" s="161" t="e">
        <f>#REF!</f>
        <v>#REF!</v>
      </c>
      <c r="E98" s="161" t="e">
        <f>#REF!</f>
        <v>#REF!</v>
      </c>
      <c r="F98" s="161" t="e">
        <f>#REF!</f>
        <v>#REF!</v>
      </c>
      <c r="G98" s="161" t="e">
        <f>#REF!</f>
        <v>#REF!</v>
      </c>
      <c r="H98" s="161" t="e">
        <f>#REF!</f>
        <v>#REF!</v>
      </c>
    </row>
    <row r="99" spans="1:8" x14ac:dyDescent="0.3">
      <c r="A99" s="161" t="e">
        <f>#REF!</f>
        <v>#REF!</v>
      </c>
      <c r="B99" s="161" t="e">
        <f>#REF!</f>
        <v>#REF!</v>
      </c>
      <c r="C99" s="161" t="e">
        <f>#REF!</f>
        <v>#REF!</v>
      </c>
      <c r="D99" s="161" t="e">
        <f>#REF!</f>
        <v>#REF!</v>
      </c>
      <c r="E99" s="161" t="e">
        <f>#REF!</f>
        <v>#REF!</v>
      </c>
      <c r="F99" s="161" t="e">
        <f>#REF!</f>
        <v>#REF!</v>
      </c>
      <c r="G99" s="161" t="e">
        <f>#REF!</f>
        <v>#REF!</v>
      </c>
      <c r="H99" s="161" t="e">
        <f>#REF!</f>
        <v>#REF!</v>
      </c>
    </row>
    <row r="100" spans="1:8" x14ac:dyDescent="0.3">
      <c r="A100" s="161" t="e">
        <f>#REF!</f>
        <v>#REF!</v>
      </c>
      <c r="B100" s="161" t="e">
        <f>#REF!</f>
        <v>#REF!</v>
      </c>
      <c r="C100" s="161" t="e">
        <f>#REF!</f>
        <v>#REF!</v>
      </c>
      <c r="D100" s="161" t="e">
        <f>#REF!</f>
        <v>#REF!</v>
      </c>
      <c r="E100" s="161" t="e">
        <f>#REF!</f>
        <v>#REF!</v>
      </c>
      <c r="F100" s="161" t="e">
        <f>#REF!</f>
        <v>#REF!</v>
      </c>
      <c r="G100" s="161" t="e">
        <f>#REF!</f>
        <v>#REF!</v>
      </c>
      <c r="H100" s="161" t="e">
        <f>#REF!</f>
        <v>#REF!</v>
      </c>
    </row>
    <row r="101" spans="1:8" x14ac:dyDescent="0.3">
      <c r="A101" s="161" t="e">
        <f>#REF!</f>
        <v>#REF!</v>
      </c>
      <c r="B101" s="161" t="e">
        <f>#REF!</f>
        <v>#REF!</v>
      </c>
      <c r="C101" s="161" t="e">
        <f>#REF!</f>
        <v>#REF!</v>
      </c>
      <c r="D101" s="161" t="e">
        <f>#REF!</f>
        <v>#REF!</v>
      </c>
      <c r="E101" s="161" t="e">
        <f>#REF!</f>
        <v>#REF!</v>
      </c>
      <c r="F101" s="161" t="e">
        <f>#REF!</f>
        <v>#REF!</v>
      </c>
      <c r="G101" s="161" t="e">
        <f>#REF!</f>
        <v>#REF!</v>
      </c>
      <c r="H101" s="161" t="e">
        <f>#REF!</f>
        <v>#REF!</v>
      </c>
    </row>
    <row r="102" spans="1:8" x14ac:dyDescent="0.3">
      <c r="A102" s="161" t="e">
        <f>#REF!</f>
        <v>#REF!</v>
      </c>
      <c r="B102" s="161" t="e">
        <f>#REF!</f>
        <v>#REF!</v>
      </c>
      <c r="C102" s="161" t="e">
        <f>#REF!</f>
        <v>#REF!</v>
      </c>
      <c r="D102" s="161" t="e">
        <f>#REF!</f>
        <v>#REF!</v>
      </c>
      <c r="E102" s="161" t="e">
        <f>#REF!</f>
        <v>#REF!</v>
      </c>
      <c r="F102" s="161" t="e">
        <f>#REF!</f>
        <v>#REF!</v>
      </c>
      <c r="G102" s="161" t="e">
        <f>#REF!</f>
        <v>#REF!</v>
      </c>
      <c r="H102" s="161" t="e">
        <f>#REF!</f>
        <v>#REF!</v>
      </c>
    </row>
    <row r="103" spans="1:8" x14ac:dyDescent="0.3">
      <c r="A103" s="161" t="e">
        <f>#REF!</f>
        <v>#REF!</v>
      </c>
      <c r="B103" s="161" t="e">
        <f>#REF!</f>
        <v>#REF!</v>
      </c>
      <c r="C103" s="161" t="e">
        <f>#REF!</f>
        <v>#REF!</v>
      </c>
      <c r="D103" s="161" t="e">
        <f>#REF!</f>
        <v>#REF!</v>
      </c>
      <c r="E103" s="161" t="e">
        <f>#REF!</f>
        <v>#REF!</v>
      </c>
      <c r="F103" s="161" t="e">
        <f>#REF!</f>
        <v>#REF!</v>
      </c>
      <c r="G103" s="161" t="e">
        <f>#REF!</f>
        <v>#REF!</v>
      </c>
      <c r="H103" s="161" t="e">
        <f>#REF!</f>
        <v>#REF!</v>
      </c>
    </row>
    <row r="104" spans="1:8" x14ac:dyDescent="0.3">
      <c r="A104" s="161" t="e">
        <f>#REF!</f>
        <v>#REF!</v>
      </c>
      <c r="B104" s="161" t="e">
        <f>#REF!</f>
        <v>#REF!</v>
      </c>
      <c r="C104" s="161" t="e">
        <f>#REF!</f>
        <v>#REF!</v>
      </c>
      <c r="D104" s="161" t="e">
        <f>#REF!</f>
        <v>#REF!</v>
      </c>
      <c r="E104" s="161" t="e">
        <f>#REF!</f>
        <v>#REF!</v>
      </c>
      <c r="F104" s="161" t="e">
        <f>#REF!</f>
        <v>#REF!</v>
      </c>
      <c r="G104" s="161" t="e">
        <f>#REF!</f>
        <v>#REF!</v>
      </c>
      <c r="H104" s="161" t="e">
        <f>#REF!</f>
        <v>#REF!</v>
      </c>
    </row>
    <row r="105" spans="1:8" x14ac:dyDescent="0.3">
      <c r="A105" s="161" t="e">
        <f>#REF!</f>
        <v>#REF!</v>
      </c>
      <c r="B105" s="161" t="e">
        <f>#REF!</f>
        <v>#REF!</v>
      </c>
      <c r="C105" s="161" t="e">
        <f>#REF!</f>
        <v>#REF!</v>
      </c>
      <c r="D105" s="161" t="e">
        <f>#REF!</f>
        <v>#REF!</v>
      </c>
      <c r="E105" s="161" t="e">
        <f>#REF!</f>
        <v>#REF!</v>
      </c>
      <c r="F105" s="161" t="e">
        <f>#REF!</f>
        <v>#REF!</v>
      </c>
      <c r="G105" s="161" t="e">
        <f>#REF!</f>
        <v>#REF!</v>
      </c>
      <c r="H105" s="161" t="e">
        <f>#REF!</f>
        <v>#REF!</v>
      </c>
    </row>
    <row r="106" spans="1:8" x14ac:dyDescent="0.3">
      <c r="A106" s="161" t="e">
        <f>#REF!</f>
        <v>#REF!</v>
      </c>
      <c r="B106" s="161" t="e">
        <f>#REF!</f>
        <v>#REF!</v>
      </c>
      <c r="C106" s="161" t="e">
        <f>#REF!</f>
        <v>#REF!</v>
      </c>
      <c r="D106" s="161" t="e">
        <f>#REF!</f>
        <v>#REF!</v>
      </c>
      <c r="E106" s="161" t="e">
        <f>#REF!</f>
        <v>#REF!</v>
      </c>
      <c r="F106" s="161" t="e">
        <f>#REF!</f>
        <v>#REF!</v>
      </c>
      <c r="G106" s="161" t="e">
        <f>#REF!</f>
        <v>#REF!</v>
      </c>
      <c r="H106" s="161" t="e">
        <f>#REF!</f>
        <v>#REF!</v>
      </c>
    </row>
    <row r="107" spans="1:8" x14ac:dyDescent="0.3">
      <c r="A107" s="161" t="e">
        <f>#REF!</f>
        <v>#REF!</v>
      </c>
      <c r="B107" s="161" t="e">
        <f>#REF!</f>
        <v>#REF!</v>
      </c>
      <c r="C107" s="161" t="e">
        <f>#REF!</f>
        <v>#REF!</v>
      </c>
      <c r="D107" s="161" t="e">
        <f>#REF!</f>
        <v>#REF!</v>
      </c>
      <c r="E107" s="161" t="e">
        <f>#REF!</f>
        <v>#REF!</v>
      </c>
      <c r="F107" s="161" t="e">
        <f>#REF!</f>
        <v>#REF!</v>
      </c>
      <c r="G107" s="161" t="e">
        <f>#REF!</f>
        <v>#REF!</v>
      </c>
      <c r="H107" s="161" t="e">
        <f>#REF!</f>
        <v>#REF!</v>
      </c>
    </row>
    <row r="108" spans="1:8" x14ac:dyDescent="0.3">
      <c r="A108" s="161" t="e">
        <f>#REF!</f>
        <v>#REF!</v>
      </c>
      <c r="B108" s="161" t="e">
        <f>#REF!</f>
        <v>#REF!</v>
      </c>
      <c r="C108" s="161" t="e">
        <f>#REF!</f>
        <v>#REF!</v>
      </c>
      <c r="D108" s="161" t="e">
        <f>#REF!</f>
        <v>#REF!</v>
      </c>
      <c r="E108" s="161" t="e">
        <f>#REF!</f>
        <v>#REF!</v>
      </c>
      <c r="F108" s="161" t="e">
        <f>#REF!</f>
        <v>#REF!</v>
      </c>
      <c r="G108" s="161" t="e">
        <f>#REF!</f>
        <v>#REF!</v>
      </c>
      <c r="H108" s="161" t="e">
        <f>#REF!</f>
        <v>#REF!</v>
      </c>
    </row>
    <row r="109" spans="1:8" x14ac:dyDescent="0.3">
      <c r="A109" s="161" t="e">
        <f>#REF!</f>
        <v>#REF!</v>
      </c>
      <c r="B109" s="161" t="e">
        <f>#REF!</f>
        <v>#REF!</v>
      </c>
      <c r="C109" s="161" t="e">
        <f>#REF!</f>
        <v>#REF!</v>
      </c>
      <c r="D109" s="161" t="e">
        <f>#REF!</f>
        <v>#REF!</v>
      </c>
      <c r="E109" s="161" t="e">
        <f>#REF!</f>
        <v>#REF!</v>
      </c>
      <c r="F109" s="161" t="e">
        <f>#REF!</f>
        <v>#REF!</v>
      </c>
      <c r="G109" s="161" t="e">
        <f>#REF!</f>
        <v>#REF!</v>
      </c>
      <c r="H109" s="161" t="e">
        <f>#REF!</f>
        <v>#REF!</v>
      </c>
    </row>
    <row r="110" spans="1:8" x14ac:dyDescent="0.3">
      <c r="A110" s="161" t="e">
        <f>#REF!</f>
        <v>#REF!</v>
      </c>
      <c r="B110" s="161" t="e">
        <f>#REF!</f>
        <v>#REF!</v>
      </c>
      <c r="C110" s="161" t="e">
        <f>#REF!</f>
        <v>#REF!</v>
      </c>
      <c r="D110" s="161" t="e">
        <f>#REF!</f>
        <v>#REF!</v>
      </c>
      <c r="E110" s="161" t="e">
        <f>#REF!</f>
        <v>#REF!</v>
      </c>
      <c r="F110" s="161" t="e">
        <f>#REF!</f>
        <v>#REF!</v>
      </c>
      <c r="G110" s="161" t="e">
        <f>#REF!</f>
        <v>#REF!</v>
      </c>
      <c r="H110" s="161" t="e">
        <f>#REF!</f>
        <v>#REF!</v>
      </c>
    </row>
    <row r="111" spans="1:8" x14ac:dyDescent="0.3">
      <c r="A111" s="161" t="e">
        <f>#REF!</f>
        <v>#REF!</v>
      </c>
      <c r="B111" s="161" t="e">
        <f>#REF!</f>
        <v>#REF!</v>
      </c>
      <c r="C111" s="161" t="e">
        <f>#REF!</f>
        <v>#REF!</v>
      </c>
      <c r="D111" s="161" t="e">
        <f>#REF!</f>
        <v>#REF!</v>
      </c>
      <c r="E111" s="161" t="e">
        <f>#REF!</f>
        <v>#REF!</v>
      </c>
      <c r="F111" s="161" t="e">
        <f>#REF!</f>
        <v>#REF!</v>
      </c>
      <c r="G111" s="161" t="e">
        <f>#REF!</f>
        <v>#REF!</v>
      </c>
      <c r="H111" s="161" t="e">
        <f>#REF!</f>
        <v>#REF!</v>
      </c>
    </row>
    <row r="112" spans="1:8" x14ac:dyDescent="0.3">
      <c r="A112" s="161" t="e">
        <f>#REF!</f>
        <v>#REF!</v>
      </c>
      <c r="B112" s="161" t="e">
        <f>#REF!</f>
        <v>#REF!</v>
      </c>
      <c r="C112" s="161" t="e">
        <f>#REF!</f>
        <v>#REF!</v>
      </c>
      <c r="D112" s="161" t="e">
        <f>#REF!</f>
        <v>#REF!</v>
      </c>
      <c r="E112" s="161" t="e">
        <f>#REF!</f>
        <v>#REF!</v>
      </c>
      <c r="F112" s="161" t="e">
        <f>#REF!</f>
        <v>#REF!</v>
      </c>
      <c r="G112" s="161" t="e">
        <f>#REF!</f>
        <v>#REF!</v>
      </c>
      <c r="H112" s="161" t="e">
        <f>#REF!</f>
        <v>#REF!</v>
      </c>
    </row>
    <row r="113" spans="1:8" x14ac:dyDescent="0.3">
      <c r="A113" s="161" t="e">
        <f>#REF!</f>
        <v>#REF!</v>
      </c>
      <c r="B113" s="161" t="e">
        <f>#REF!</f>
        <v>#REF!</v>
      </c>
      <c r="C113" s="161" t="e">
        <f>#REF!</f>
        <v>#REF!</v>
      </c>
      <c r="D113" s="161" t="e">
        <f>#REF!</f>
        <v>#REF!</v>
      </c>
      <c r="E113" s="161" t="e">
        <f>#REF!</f>
        <v>#REF!</v>
      </c>
      <c r="F113" s="161" t="e">
        <f>#REF!</f>
        <v>#REF!</v>
      </c>
      <c r="G113" s="161" t="e">
        <f>#REF!</f>
        <v>#REF!</v>
      </c>
      <c r="H113" s="161" t="e">
        <f>#REF!</f>
        <v>#REF!</v>
      </c>
    </row>
    <row r="114" spans="1:8" x14ac:dyDescent="0.3">
      <c r="A114" s="161" t="e">
        <f>#REF!</f>
        <v>#REF!</v>
      </c>
      <c r="B114" s="161" t="e">
        <f>#REF!</f>
        <v>#REF!</v>
      </c>
      <c r="C114" s="161" t="e">
        <f>#REF!</f>
        <v>#REF!</v>
      </c>
      <c r="D114" s="161" t="e">
        <f>#REF!</f>
        <v>#REF!</v>
      </c>
      <c r="E114" s="161" t="e">
        <f>#REF!</f>
        <v>#REF!</v>
      </c>
      <c r="F114" s="161" t="e">
        <f>#REF!</f>
        <v>#REF!</v>
      </c>
      <c r="G114" s="161" t="e">
        <f>#REF!</f>
        <v>#REF!</v>
      </c>
      <c r="H114" s="161" t="e">
        <f>#REF!</f>
        <v>#REF!</v>
      </c>
    </row>
    <row r="115" spans="1:8" x14ac:dyDescent="0.3">
      <c r="A115" s="161" t="e">
        <f>#REF!</f>
        <v>#REF!</v>
      </c>
      <c r="B115" s="161" t="e">
        <f>#REF!</f>
        <v>#REF!</v>
      </c>
      <c r="C115" s="161" t="e">
        <f>#REF!</f>
        <v>#REF!</v>
      </c>
      <c r="D115" s="161" t="e">
        <f>#REF!</f>
        <v>#REF!</v>
      </c>
      <c r="E115" s="161" t="e">
        <f>#REF!</f>
        <v>#REF!</v>
      </c>
      <c r="F115" s="161" t="e">
        <f>#REF!</f>
        <v>#REF!</v>
      </c>
      <c r="G115" s="161" t="e">
        <f>#REF!</f>
        <v>#REF!</v>
      </c>
      <c r="H115" s="161" t="e">
        <f>#REF!</f>
        <v>#REF!</v>
      </c>
    </row>
    <row r="116" spans="1:8" x14ac:dyDescent="0.3">
      <c r="A116" s="161" t="e">
        <f>#REF!</f>
        <v>#REF!</v>
      </c>
      <c r="B116" s="161" t="e">
        <f>#REF!</f>
        <v>#REF!</v>
      </c>
      <c r="C116" s="161" t="e">
        <f>#REF!</f>
        <v>#REF!</v>
      </c>
      <c r="D116" s="161" t="e">
        <f>#REF!</f>
        <v>#REF!</v>
      </c>
      <c r="E116" s="161" t="e">
        <f>#REF!</f>
        <v>#REF!</v>
      </c>
      <c r="F116" s="161" t="e">
        <f>#REF!</f>
        <v>#REF!</v>
      </c>
      <c r="G116" s="161" t="e">
        <f>#REF!</f>
        <v>#REF!</v>
      </c>
      <c r="H116" s="161" t="e">
        <f>#REF!</f>
        <v>#REF!</v>
      </c>
    </row>
    <row r="117" spans="1:8" x14ac:dyDescent="0.3">
      <c r="A117" s="161" t="e">
        <f>#REF!</f>
        <v>#REF!</v>
      </c>
      <c r="B117" s="161" t="e">
        <f>#REF!</f>
        <v>#REF!</v>
      </c>
      <c r="C117" s="161" t="e">
        <f>#REF!</f>
        <v>#REF!</v>
      </c>
      <c r="D117" s="161" t="e">
        <f>#REF!</f>
        <v>#REF!</v>
      </c>
      <c r="E117" s="161" t="e">
        <f>#REF!</f>
        <v>#REF!</v>
      </c>
      <c r="F117" s="161" t="e">
        <f>#REF!</f>
        <v>#REF!</v>
      </c>
      <c r="G117" s="161" t="e">
        <f>#REF!</f>
        <v>#REF!</v>
      </c>
      <c r="H117" s="161" t="e">
        <f>#REF!</f>
        <v>#REF!</v>
      </c>
    </row>
    <row r="118" spans="1:8" x14ac:dyDescent="0.3">
      <c r="A118" s="161" t="e">
        <f>#REF!</f>
        <v>#REF!</v>
      </c>
      <c r="B118" s="161" t="e">
        <f>#REF!</f>
        <v>#REF!</v>
      </c>
      <c r="C118" s="161" t="e">
        <f>#REF!</f>
        <v>#REF!</v>
      </c>
      <c r="D118" s="161" t="e">
        <f>#REF!</f>
        <v>#REF!</v>
      </c>
      <c r="E118" s="161" t="e">
        <f>#REF!</f>
        <v>#REF!</v>
      </c>
      <c r="F118" s="161" t="e">
        <f>#REF!</f>
        <v>#REF!</v>
      </c>
      <c r="G118" s="161" t="e">
        <f>#REF!</f>
        <v>#REF!</v>
      </c>
      <c r="H118" s="161" t="e">
        <f>#REF!</f>
        <v>#REF!</v>
      </c>
    </row>
    <row r="119" spans="1:8" x14ac:dyDescent="0.3">
      <c r="A119" s="161" t="e">
        <f>#REF!</f>
        <v>#REF!</v>
      </c>
      <c r="B119" s="161" t="e">
        <f>#REF!</f>
        <v>#REF!</v>
      </c>
      <c r="C119" s="161" t="e">
        <f>#REF!</f>
        <v>#REF!</v>
      </c>
      <c r="D119" s="161" t="e">
        <f>#REF!</f>
        <v>#REF!</v>
      </c>
      <c r="E119" s="161" t="e">
        <f>#REF!</f>
        <v>#REF!</v>
      </c>
      <c r="F119" s="161" t="e">
        <f>#REF!</f>
        <v>#REF!</v>
      </c>
      <c r="G119" s="161" t="e">
        <f>#REF!</f>
        <v>#REF!</v>
      </c>
      <c r="H119" s="161" t="e">
        <f>#REF!</f>
        <v>#REF!</v>
      </c>
    </row>
    <row r="120" spans="1:8" x14ac:dyDescent="0.3">
      <c r="A120" s="161" t="e">
        <f>#REF!</f>
        <v>#REF!</v>
      </c>
      <c r="B120" s="161" t="e">
        <f>#REF!</f>
        <v>#REF!</v>
      </c>
      <c r="C120" s="161" t="e">
        <f>#REF!</f>
        <v>#REF!</v>
      </c>
      <c r="D120" s="161" t="e">
        <f>#REF!</f>
        <v>#REF!</v>
      </c>
      <c r="E120" s="161" t="e">
        <f>#REF!</f>
        <v>#REF!</v>
      </c>
      <c r="F120" s="161" t="e">
        <f>#REF!</f>
        <v>#REF!</v>
      </c>
      <c r="G120" s="161" t="e">
        <f>#REF!</f>
        <v>#REF!</v>
      </c>
      <c r="H120" s="161" t="e">
        <f>#REF!</f>
        <v>#REF!</v>
      </c>
    </row>
    <row r="121" spans="1:8" x14ac:dyDescent="0.3">
      <c r="A121" s="161" t="e">
        <f>#REF!</f>
        <v>#REF!</v>
      </c>
      <c r="B121" s="161" t="e">
        <f>#REF!</f>
        <v>#REF!</v>
      </c>
      <c r="C121" s="161" t="e">
        <f>#REF!</f>
        <v>#REF!</v>
      </c>
      <c r="D121" s="161" t="e">
        <f>#REF!</f>
        <v>#REF!</v>
      </c>
      <c r="E121" s="161" t="e">
        <f>#REF!</f>
        <v>#REF!</v>
      </c>
      <c r="F121" s="161" t="e">
        <f>#REF!</f>
        <v>#REF!</v>
      </c>
      <c r="G121" s="161" t="e">
        <f>#REF!</f>
        <v>#REF!</v>
      </c>
      <c r="H121" s="161" t="e">
        <f>#REF!</f>
        <v>#REF!</v>
      </c>
    </row>
    <row r="122" spans="1:8" x14ac:dyDescent="0.3">
      <c r="A122" s="161" t="e">
        <f>#REF!</f>
        <v>#REF!</v>
      </c>
      <c r="B122" s="161" t="e">
        <f>#REF!</f>
        <v>#REF!</v>
      </c>
      <c r="C122" s="161" t="e">
        <f>#REF!</f>
        <v>#REF!</v>
      </c>
      <c r="D122" s="161" t="e">
        <f>#REF!</f>
        <v>#REF!</v>
      </c>
      <c r="E122" s="161" t="e">
        <f>#REF!</f>
        <v>#REF!</v>
      </c>
      <c r="F122" s="161" t="e">
        <f>#REF!</f>
        <v>#REF!</v>
      </c>
      <c r="G122" s="161" t="e">
        <f>#REF!</f>
        <v>#REF!</v>
      </c>
      <c r="H122" s="161" t="e">
        <f>#REF!</f>
        <v>#REF!</v>
      </c>
    </row>
    <row r="123" spans="1:8" x14ac:dyDescent="0.3">
      <c r="A123" s="161" t="e">
        <f>#REF!</f>
        <v>#REF!</v>
      </c>
      <c r="B123" s="161" t="e">
        <f>#REF!</f>
        <v>#REF!</v>
      </c>
      <c r="C123" s="161" t="e">
        <f>#REF!</f>
        <v>#REF!</v>
      </c>
      <c r="D123" s="161" t="e">
        <f>#REF!</f>
        <v>#REF!</v>
      </c>
      <c r="E123" s="161" t="e">
        <f>#REF!</f>
        <v>#REF!</v>
      </c>
      <c r="F123" s="161" t="e">
        <f>#REF!</f>
        <v>#REF!</v>
      </c>
      <c r="G123" s="161" t="e">
        <f>#REF!</f>
        <v>#REF!</v>
      </c>
      <c r="H123" s="161" t="e">
        <f>#REF!</f>
        <v>#REF!</v>
      </c>
    </row>
    <row r="124" spans="1:8" x14ac:dyDescent="0.3">
      <c r="A124" s="161" t="e">
        <f>#REF!</f>
        <v>#REF!</v>
      </c>
      <c r="B124" s="161" t="e">
        <f>#REF!</f>
        <v>#REF!</v>
      </c>
      <c r="C124" s="161" t="e">
        <f>#REF!</f>
        <v>#REF!</v>
      </c>
      <c r="D124" s="161" t="e">
        <f>#REF!</f>
        <v>#REF!</v>
      </c>
      <c r="E124" s="161" t="e">
        <f>#REF!</f>
        <v>#REF!</v>
      </c>
      <c r="F124" s="161" t="e">
        <f>#REF!</f>
        <v>#REF!</v>
      </c>
      <c r="G124" s="161" t="e">
        <f>#REF!</f>
        <v>#REF!</v>
      </c>
      <c r="H124" s="161" t="e">
        <f>#REF!</f>
        <v>#REF!</v>
      </c>
    </row>
    <row r="125" spans="1:8" x14ac:dyDescent="0.3">
      <c r="A125" s="161" t="e">
        <f>#REF!</f>
        <v>#REF!</v>
      </c>
      <c r="B125" s="161" t="e">
        <f>#REF!</f>
        <v>#REF!</v>
      </c>
      <c r="C125" s="161" t="e">
        <f>#REF!</f>
        <v>#REF!</v>
      </c>
      <c r="D125" s="161" t="e">
        <f>#REF!</f>
        <v>#REF!</v>
      </c>
      <c r="E125" s="161" t="e">
        <f>#REF!</f>
        <v>#REF!</v>
      </c>
      <c r="F125" s="161" t="e">
        <f>#REF!</f>
        <v>#REF!</v>
      </c>
      <c r="G125" s="161" t="e">
        <f>#REF!</f>
        <v>#REF!</v>
      </c>
      <c r="H125" s="161" t="e">
        <f>#REF!</f>
        <v>#REF!</v>
      </c>
    </row>
    <row r="126" spans="1:8" x14ac:dyDescent="0.3">
      <c r="A126" s="161" t="e">
        <f>#REF!</f>
        <v>#REF!</v>
      </c>
      <c r="B126" s="161" t="e">
        <f>#REF!</f>
        <v>#REF!</v>
      </c>
      <c r="C126" s="161" t="e">
        <f>#REF!</f>
        <v>#REF!</v>
      </c>
      <c r="D126" s="161" t="e">
        <f>#REF!</f>
        <v>#REF!</v>
      </c>
      <c r="E126" s="161" t="e">
        <f>#REF!</f>
        <v>#REF!</v>
      </c>
      <c r="F126" s="161" t="e">
        <f>#REF!</f>
        <v>#REF!</v>
      </c>
      <c r="G126" s="161" t="e">
        <f>#REF!</f>
        <v>#REF!</v>
      </c>
      <c r="H126" s="161" t="e">
        <f>#REF!</f>
        <v>#REF!</v>
      </c>
    </row>
    <row r="127" spans="1:8" x14ac:dyDescent="0.3">
      <c r="A127" s="161" t="e">
        <f>#REF!</f>
        <v>#REF!</v>
      </c>
      <c r="B127" s="161" t="e">
        <f>#REF!</f>
        <v>#REF!</v>
      </c>
      <c r="C127" s="161" t="e">
        <f>#REF!</f>
        <v>#REF!</v>
      </c>
      <c r="D127" s="161" t="e">
        <f>#REF!</f>
        <v>#REF!</v>
      </c>
      <c r="E127" s="161" t="e">
        <f>#REF!</f>
        <v>#REF!</v>
      </c>
      <c r="F127" s="161" t="e">
        <f>#REF!</f>
        <v>#REF!</v>
      </c>
      <c r="G127" s="161" t="e">
        <f>#REF!</f>
        <v>#REF!</v>
      </c>
      <c r="H127" s="161" t="e">
        <f>#REF!</f>
        <v>#REF!</v>
      </c>
    </row>
    <row r="128" spans="1:8" x14ac:dyDescent="0.3">
      <c r="A128" s="161" t="e">
        <f>#REF!</f>
        <v>#REF!</v>
      </c>
      <c r="B128" s="161" t="e">
        <f>#REF!</f>
        <v>#REF!</v>
      </c>
      <c r="C128" s="161" t="e">
        <f>#REF!</f>
        <v>#REF!</v>
      </c>
      <c r="D128" s="161" t="e">
        <f>#REF!</f>
        <v>#REF!</v>
      </c>
      <c r="E128" s="161" t="e">
        <f>#REF!</f>
        <v>#REF!</v>
      </c>
      <c r="F128" s="161" t="e">
        <f>#REF!</f>
        <v>#REF!</v>
      </c>
      <c r="G128" s="161" t="e">
        <f>#REF!</f>
        <v>#REF!</v>
      </c>
      <c r="H128" s="161" t="e">
        <f>#REF!</f>
        <v>#REF!</v>
      </c>
    </row>
    <row r="129" spans="1:8" x14ac:dyDescent="0.3">
      <c r="A129" s="161" t="e">
        <f>#REF!</f>
        <v>#REF!</v>
      </c>
      <c r="B129" s="161" t="e">
        <f>#REF!</f>
        <v>#REF!</v>
      </c>
      <c r="C129" s="161" t="e">
        <f>#REF!</f>
        <v>#REF!</v>
      </c>
      <c r="D129" s="161" t="e">
        <f>#REF!</f>
        <v>#REF!</v>
      </c>
      <c r="E129" s="161" t="e">
        <f>#REF!</f>
        <v>#REF!</v>
      </c>
      <c r="F129" s="161" t="e">
        <f>#REF!</f>
        <v>#REF!</v>
      </c>
      <c r="G129" s="161" t="e">
        <f>#REF!</f>
        <v>#REF!</v>
      </c>
      <c r="H129" s="161" t="e">
        <f>#REF!</f>
        <v>#REF!</v>
      </c>
    </row>
    <row r="130" spans="1:8" x14ac:dyDescent="0.3">
      <c r="A130" s="161" t="e">
        <f>#REF!</f>
        <v>#REF!</v>
      </c>
      <c r="B130" s="161" t="e">
        <f>#REF!</f>
        <v>#REF!</v>
      </c>
      <c r="C130" s="161" t="e">
        <f>#REF!</f>
        <v>#REF!</v>
      </c>
      <c r="D130" s="161" t="e">
        <f>#REF!</f>
        <v>#REF!</v>
      </c>
      <c r="E130" s="161" t="e">
        <f>#REF!</f>
        <v>#REF!</v>
      </c>
      <c r="F130" s="161" t="e">
        <f>#REF!</f>
        <v>#REF!</v>
      </c>
      <c r="G130" s="161" t="e">
        <f>#REF!</f>
        <v>#REF!</v>
      </c>
      <c r="H130" s="161" t="e">
        <f>#REF!</f>
        <v>#REF!</v>
      </c>
    </row>
    <row r="131" spans="1:8" x14ac:dyDescent="0.3">
      <c r="A131" s="161" t="e">
        <f>#REF!</f>
        <v>#REF!</v>
      </c>
      <c r="B131" s="161" t="e">
        <f>#REF!</f>
        <v>#REF!</v>
      </c>
      <c r="C131" s="161" t="e">
        <f>#REF!</f>
        <v>#REF!</v>
      </c>
      <c r="D131" s="161" t="e">
        <f>#REF!</f>
        <v>#REF!</v>
      </c>
      <c r="E131" s="161" t="e">
        <f>#REF!</f>
        <v>#REF!</v>
      </c>
      <c r="F131" s="161" t="e">
        <f>#REF!</f>
        <v>#REF!</v>
      </c>
      <c r="G131" s="161" t="e">
        <f>#REF!</f>
        <v>#REF!</v>
      </c>
      <c r="H131" s="161" t="e">
        <f>#REF!</f>
        <v>#REF!</v>
      </c>
    </row>
    <row r="132" spans="1:8" x14ac:dyDescent="0.3">
      <c r="A132" s="161" t="e">
        <f>#REF!</f>
        <v>#REF!</v>
      </c>
      <c r="B132" s="161" t="e">
        <f>#REF!</f>
        <v>#REF!</v>
      </c>
      <c r="C132" s="161" t="e">
        <f>#REF!</f>
        <v>#REF!</v>
      </c>
      <c r="D132" s="161" t="e">
        <f>#REF!</f>
        <v>#REF!</v>
      </c>
      <c r="E132" s="161" t="e">
        <f>#REF!</f>
        <v>#REF!</v>
      </c>
      <c r="F132" s="161" t="e">
        <f>#REF!</f>
        <v>#REF!</v>
      </c>
      <c r="G132" s="161" t="e">
        <f>#REF!</f>
        <v>#REF!</v>
      </c>
      <c r="H132" s="161" t="e">
        <f>#REF!</f>
        <v>#REF!</v>
      </c>
    </row>
    <row r="133" spans="1:8" x14ac:dyDescent="0.3">
      <c r="A133" s="161" t="e">
        <f>#REF!</f>
        <v>#REF!</v>
      </c>
      <c r="B133" s="161" t="e">
        <f>#REF!</f>
        <v>#REF!</v>
      </c>
      <c r="C133" s="161" t="e">
        <f>#REF!</f>
        <v>#REF!</v>
      </c>
      <c r="D133" s="161" t="e">
        <f>#REF!</f>
        <v>#REF!</v>
      </c>
      <c r="E133" s="161" t="e">
        <f>#REF!</f>
        <v>#REF!</v>
      </c>
      <c r="F133" s="161" t="e">
        <f>#REF!</f>
        <v>#REF!</v>
      </c>
      <c r="G133" s="161" t="e">
        <f>#REF!</f>
        <v>#REF!</v>
      </c>
      <c r="H133" s="161" t="e">
        <f>#REF!</f>
        <v>#REF!</v>
      </c>
    </row>
    <row r="134" spans="1:8" x14ac:dyDescent="0.3">
      <c r="A134" s="161" t="e">
        <f>#REF!</f>
        <v>#REF!</v>
      </c>
      <c r="B134" s="161" t="e">
        <f>#REF!</f>
        <v>#REF!</v>
      </c>
      <c r="C134" s="161" t="e">
        <f>#REF!</f>
        <v>#REF!</v>
      </c>
      <c r="D134" s="161" t="e">
        <f>#REF!</f>
        <v>#REF!</v>
      </c>
      <c r="E134" s="161" t="e">
        <f>#REF!</f>
        <v>#REF!</v>
      </c>
      <c r="F134" s="161" t="e">
        <f>#REF!</f>
        <v>#REF!</v>
      </c>
      <c r="G134" s="161" t="e">
        <f>#REF!</f>
        <v>#REF!</v>
      </c>
      <c r="H134" s="161" t="e">
        <f>#REF!</f>
        <v>#REF!</v>
      </c>
    </row>
    <row r="135" spans="1:8" x14ac:dyDescent="0.3">
      <c r="A135" s="161" t="e">
        <f>#REF!</f>
        <v>#REF!</v>
      </c>
      <c r="B135" s="161" t="e">
        <f>#REF!</f>
        <v>#REF!</v>
      </c>
      <c r="C135" s="161" t="e">
        <f>#REF!</f>
        <v>#REF!</v>
      </c>
      <c r="D135" s="161" t="e">
        <f>#REF!</f>
        <v>#REF!</v>
      </c>
      <c r="E135" s="161" t="e">
        <f>#REF!</f>
        <v>#REF!</v>
      </c>
      <c r="F135" s="161" t="e">
        <f>#REF!</f>
        <v>#REF!</v>
      </c>
      <c r="G135" s="161" t="e">
        <f>#REF!</f>
        <v>#REF!</v>
      </c>
      <c r="H135" s="161" t="e">
        <f>#REF!</f>
        <v>#REF!</v>
      </c>
    </row>
    <row r="136" spans="1:8" x14ac:dyDescent="0.3">
      <c r="A136" s="161" t="e">
        <f>#REF!</f>
        <v>#REF!</v>
      </c>
      <c r="B136" s="161" t="e">
        <f>#REF!</f>
        <v>#REF!</v>
      </c>
      <c r="C136" s="161" t="e">
        <f>#REF!</f>
        <v>#REF!</v>
      </c>
      <c r="D136" s="161" t="e">
        <f>#REF!</f>
        <v>#REF!</v>
      </c>
      <c r="E136" s="161" t="e">
        <f>#REF!</f>
        <v>#REF!</v>
      </c>
      <c r="F136" s="161" t="e">
        <f>#REF!</f>
        <v>#REF!</v>
      </c>
      <c r="G136" s="161" t="e">
        <f>#REF!</f>
        <v>#REF!</v>
      </c>
      <c r="H136" s="161" t="e">
        <f>#REF!</f>
        <v>#REF!</v>
      </c>
    </row>
    <row r="137" spans="1:8" x14ac:dyDescent="0.3">
      <c r="A137" s="161" t="e">
        <f>#REF!</f>
        <v>#REF!</v>
      </c>
      <c r="B137" s="161" t="e">
        <f>#REF!</f>
        <v>#REF!</v>
      </c>
      <c r="C137" s="161" t="e">
        <f>#REF!</f>
        <v>#REF!</v>
      </c>
      <c r="D137" s="161" t="e">
        <f>#REF!</f>
        <v>#REF!</v>
      </c>
      <c r="E137" s="161" t="e">
        <f>#REF!</f>
        <v>#REF!</v>
      </c>
      <c r="F137" s="161" t="e">
        <f>#REF!</f>
        <v>#REF!</v>
      </c>
      <c r="G137" s="161" t="e">
        <f>#REF!</f>
        <v>#REF!</v>
      </c>
      <c r="H137" s="161" t="e">
        <f>#REF!</f>
        <v>#REF!</v>
      </c>
    </row>
    <row r="138" spans="1:8" x14ac:dyDescent="0.3">
      <c r="A138" s="161" t="e">
        <f>#REF!</f>
        <v>#REF!</v>
      </c>
      <c r="B138" s="161" t="e">
        <f>#REF!</f>
        <v>#REF!</v>
      </c>
      <c r="C138" s="161" t="e">
        <f>#REF!</f>
        <v>#REF!</v>
      </c>
      <c r="D138" s="161" t="e">
        <f>#REF!</f>
        <v>#REF!</v>
      </c>
      <c r="E138" s="161" t="e">
        <f>#REF!</f>
        <v>#REF!</v>
      </c>
      <c r="F138" s="161" t="e">
        <f>#REF!</f>
        <v>#REF!</v>
      </c>
      <c r="G138" s="161" t="e">
        <f>#REF!</f>
        <v>#REF!</v>
      </c>
      <c r="H138" s="161" t="e">
        <f>#REF!</f>
        <v>#REF!</v>
      </c>
    </row>
    <row r="139" spans="1:8" x14ac:dyDescent="0.3">
      <c r="A139" s="161" t="e">
        <f>#REF!</f>
        <v>#REF!</v>
      </c>
      <c r="B139" s="161" t="e">
        <f>#REF!</f>
        <v>#REF!</v>
      </c>
      <c r="C139" s="161" t="e">
        <f>#REF!</f>
        <v>#REF!</v>
      </c>
      <c r="D139" s="161" t="e">
        <f>#REF!</f>
        <v>#REF!</v>
      </c>
      <c r="E139" s="161" t="e">
        <f>#REF!</f>
        <v>#REF!</v>
      </c>
      <c r="F139" s="161" t="e">
        <f>#REF!</f>
        <v>#REF!</v>
      </c>
      <c r="G139" s="161" t="e">
        <f>#REF!</f>
        <v>#REF!</v>
      </c>
      <c r="H139" s="161" t="e">
        <f>#REF!</f>
        <v>#REF!</v>
      </c>
    </row>
    <row r="140" spans="1:8" x14ac:dyDescent="0.3">
      <c r="A140" s="161" t="e">
        <f>#REF!</f>
        <v>#REF!</v>
      </c>
      <c r="B140" s="161" t="e">
        <f>#REF!</f>
        <v>#REF!</v>
      </c>
      <c r="C140" s="161" t="e">
        <f>#REF!</f>
        <v>#REF!</v>
      </c>
      <c r="D140" s="161" t="e">
        <f>#REF!</f>
        <v>#REF!</v>
      </c>
      <c r="E140" s="161" t="e">
        <f>#REF!</f>
        <v>#REF!</v>
      </c>
      <c r="F140" s="161" t="e">
        <f>#REF!</f>
        <v>#REF!</v>
      </c>
      <c r="G140" s="161" t="e">
        <f>#REF!</f>
        <v>#REF!</v>
      </c>
      <c r="H140" s="161" t="e">
        <f>#REF!</f>
        <v>#REF!</v>
      </c>
    </row>
    <row r="141" spans="1:8" x14ac:dyDescent="0.3">
      <c r="A141" s="161" t="e">
        <f>#REF!</f>
        <v>#REF!</v>
      </c>
      <c r="B141" s="161" t="e">
        <f>#REF!</f>
        <v>#REF!</v>
      </c>
      <c r="C141" s="161" t="e">
        <f>#REF!</f>
        <v>#REF!</v>
      </c>
      <c r="D141" s="161" t="e">
        <f>#REF!</f>
        <v>#REF!</v>
      </c>
      <c r="E141" s="161" t="e">
        <f>#REF!</f>
        <v>#REF!</v>
      </c>
      <c r="F141" s="161" t="e">
        <f>#REF!</f>
        <v>#REF!</v>
      </c>
      <c r="G141" s="161" t="e">
        <f>#REF!</f>
        <v>#REF!</v>
      </c>
      <c r="H141" s="161" t="e">
        <f>#REF!</f>
        <v>#REF!</v>
      </c>
    </row>
    <row r="142" spans="1:8" x14ac:dyDescent="0.3">
      <c r="A142" s="161" t="e">
        <f>#REF!</f>
        <v>#REF!</v>
      </c>
      <c r="B142" s="161" t="e">
        <f>#REF!</f>
        <v>#REF!</v>
      </c>
      <c r="C142" s="161" t="e">
        <f>#REF!</f>
        <v>#REF!</v>
      </c>
      <c r="D142" s="161" t="e">
        <f>#REF!</f>
        <v>#REF!</v>
      </c>
      <c r="E142" s="161" t="e">
        <f>#REF!</f>
        <v>#REF!</v>
      </c>
      <c r="F142" s="161" t="e">
        <f>#REF!</f>
        <v>#REF!</v>
      </c>
      <c r="G142" s="161" t="e">
        <f>#REF!</f>
        <v>#REF!</v>
      </c>
      <c r="H142" s="161" t="e">
        <f>#REF!</f>
        <v>#REF!</v>
      </c>
    </row>
    <row r="143" spans="1:8" x14ac:dyDescent="0.3">
      <c r="A143" s="161" t="e">
        <f>#REF!</f>
        <v>#REF!</v>
      </c>
      <c r="B143" s="161" t="e">
        <f>#REF!</f>
        <v>#REF!</v>
      </c>
      <c r="C143" s="161" t="e">
        <f>#REF!</f>
        <v>#REF!</v>
      </c>
      <c r="D143" s="161" t="e">
        <f>#REF!</f>
        <v>#REF!</v>
      </c>
      <c r="E143" s="161" t="e">
        <f>#REF!</f>
        <v>#REF!</v>
      </c>
      <c r="F143" s="161" t="e">
        <f>#REF!</f>
        <v>#REF!</v>
      </c>
      <c r="G143" s="161" t="e">
        <f>#REF!</f>
        <v>#REF!</v>
      </c>
      <c r="H143" s="161" t="e">
        <f>#REF!</f>
        <v>#REF!</v>
      </c>
    </row>
    <row r="144" spans="1:8" x14ac:dyDescent="0.3">
      <c r="A144" s="161" t="e">
        <f>#REF!</f>
        <v>#REF!</v>
      </c>
      <c r="B144" s="161" t="e">
        <f>#REF!</f>
        <v>#REF!</v>
      </c>
      <c r="C144" s="161" t="e">
        <f>#REF!</f>
        <v>#REF!</v>
      </c>
      <c r="D144" s="161" t="e">
        <f>#REF!</f>
        <v>#REF!</v>
      </c>
      <c r="E144" s="161" t="e">
        <f>#REF!</f>
        <v>#REF!</v>
      </c>
      <c r="F144" s="161" t="e">
        <f>#REF!</f>
        <v>#REF!</v>
      </c>
      <c r="G144" s="161" t="e">
        <f>#REF!</f>
        <v>#REF!</v>
      </c>
      <c r="H144" s="161" t="e">
        <f>#REF!</f>
        <v>#REF!</v>
      </c>
    </row>
    <row r="145" spans="1:8" x14ac:dyDescent="0.3">
      <c r="A145" s="161" t="e">
        <f>#REF!</f>
        <v>#REF!</v>
      </c>
      <c r="B145" s="161" t="e">
        <f>#REF!</f>
        <v>#REF!</v>
      </c>
      <c r="C145" s="161" t="e">
        <f>#REF!</f>
        <v>#REF!</v>
      </c>
      <c r="D145" s="161" t="e">
        <f>#REF!</f>
        <v>#REF!</v>
      </c>
      <c r="E145" s="161" t="e">
        <f>#REF!</f>
        <v>#REF!</v>
      </c>
      <c r="F145" s="161" t="e">
        <f>#REF!</f>
        <v>#REF!</v>
      </c>
      <c r="G145" s="161" t="e">
        <f>#REF!</f>
        <v>#REF!</v>
      </c>
      <c r="H145" s="161" t="e">
        <f>#REF!</f>
        <v>#REF!</v>
      </c>
    </row>
    <row r="146" spans="1:8" x14ac:dyDescent="0.3">
      <c r="A146" s="161" t="e">
        <f>#REF!</f>
        <v>#REF!</v>
      </c>
      <c r="B146" s="161" t="e">
        <f>#REF!</f>
        <v>#REF!</v>
      </c>
      <c r="C146" s="161" t="e">
        <f>#REF!</f>
        <v>#REF!</v>
      </c>
      <c r="D146" s="161" t="e">
        <f>#REF!</f>
        <v>#REF!</v>
      </c>
      <c r="E146" s="161" t="e">
        <f>#REF!</f>
        <v>#REF!</v>
      </c>
      <c r="F146" s="161" t="e">
        <f>#REF!</f>
        <v>#REF!</v>
      </c>
      <c r="G146" s="161" t="e">
        <f>#REF!</f>
        <v>#REF!</v>
      </c>
      <c r="H146" s="161" t="e">
        <f>#REF!</f>
        <v>#REF!</v>
      </c>
    </row>
    <row r="147" spans="1:8" x14ac:dyDescent="0.3">
      <c r="A147" s="161" t="e">
        <f>#REF!</f>
        <v>#REF!</v>
      </c>
      <c r="B147" s="161" t="e">
        <f>#REF!</f>
        <v>#REF!</v>
      </c>
      <c r="C147" s="161" t="e">
        <f>#REF!</f>
        <v>#REF!</v>
      </c>
      <c r="D147" s="161" t="e">
        <f>#REF!</f>
        <v>#REF!</v>
      </c>
      <c r="E147" s="161" t="e">
        <f>#REF!</f>
        <v>#REF!</v>
      </c>
      <c r="F147" s="161" t="e">
        <f>#REF!</f>
        <v>#REF!</v>
      </c>
      <c r="G147" s="161" t="e">
        <f>#REF!</f>
        <v>#REF!</v>
      </c>
      <c r="H147" s="161" t="e">
        <f>#REF!</f>
        <v>#REF!</v>
      </c>
    </row>
    <row r="148" spans="1:8" x14ac:dyDescent="0.3">
      <c r="A148" s="161" t="e">
        <f>#REF!</f>
        <v>#REF!</v>
      </c>
      <c r="B148" s="161" t="e">
        <f>#REF!</f>
        <v>#REF!</v>
      </c>
      <c r="C148" s="161" t="e">
        <f>#REF!</f>
        <v>#REF!</v>
      </c>
      <c r="D148" s="161" t="e">
        <f>#REF!</f>
        <v>#REF!</v>
      </c>
      <c r="E148" s="161" t="e">
        <f>#REF!</f>
        <v>#REF!</v>
      </c>
      <c r="F148" s="161" t="e">
        <f>#REF!</f>
        <v>#REF!</v>
      </c>
      <c r="G148" s="161" t="e">
        <f>#REF!</f>
        <v>#REF!</v>
      </c>
      <c r="H148" s="161" t="e">
        <f>#REF!</f>
        <v>#REF!</v>
      </c>
    </row>
    <row r="149" spans="1:8" x14ac:dyDescent="0.3">
      <c r="A149" s="161" t="e">
        <f>#REF!</f>
        <v>#REF!</v>
      </c>
      <c r="B149" s="161" t="e">
        <f>#REF!</f>
        <v>#REF!</v>
      </c>
      <c r="C149" s="161" t="e">
        <f>#REF!</f>
        <v>#REF!</v>
      </c>
      <c r="D149" s="161" t="e">
        <f>#REF!</f>
        <v>#REF!</v>
      </c>
      <c r="E149" s="161" t="e">
        <f>#REF!</f>
        <v>#REF!</v>
      </c>
      <c r="F149" s="161" t="e">
        <f>#REF!</f>
        <v>#REF!</v>
      </c>
      <c r="G149" s="161" t="e">
        <f>#REF!</f>
        <v>#REF!</v>
      </c>
      <c r="H149" s="161" t="e">
        <f>#REF!</f>
        <v>#REF!</v>
      </c>
    </row>
    <row r="150" spans="1:8" x14ac:dyDescent="0.3">
      <c r="A150" s="161" t="e">
        <f>#REF!</f>
        <v>#REF!</v>
      </c>
      <c r="B150" s="161" t="e">
        <f>#REF!</f>
        <v>#REF!</v>
      </c>
      <c r="C150" s="161" t="e">
        <f>#REF!</f>
        <v>#REF!</v>
      </c>
      <c r="D150" s="161" t="e">
        <f>#REF!</f>
        <v>#REF!</v>
      </c>
      <c r="E150" s="161" t="e">
        <f>#REF!</f>
        <v>#REF!</v>
      </c>
      <c r="F150" s="161" t="e">
        <f>#REF!</f>
        <v>#REF!</v>
      </c>
      <c r="G150" s="161" t="e">
        <f>#REF!</f>
        <v>#REF!</v>
      </c>
      <c r="H150" s="161" t="e">
        <f>#REF!</f>
        <v>#REF!</v>
      </c>
    </row>
    <row r="151" spans="1:8" x14ac:dyDescent="0.3">
      <c r="A151" s="161" t="e">
        <f>#REF!</f>
        <v>#REF!</v>
      </c>
      <c r="B151" s="161" t="e">
        <f>#REF!</f>
        <v>#REF!</v>
      </c>
      <c r="C151" s="161" t="e">
        <f>#REF!</f>
        <v>#REF!</v>
      </c>
      <c r="D151" s="161" t="e">
        <f>#REF!</f>
        <v>#REF!</v>
      </c>
      <c r="E151" s="161" t="e">
        <f>#REF!</f>
        <v>#REF!</v>
      </c>
      <c r="F151" s="161" t="e">
        <f>#REF!</f>
        <v>#REF!</v>
      </c>
      <c r="G151" s="161" t="e">
        <f>#REF!</f>
        <v>#REF!</v>
      </c>
      <c r="H151" s="161" t="e">
        <f>#REF!</f>
        <v>#REF!</v>
      </c>
    </row>
    <row r="152" spans="1:8" x14ac:dyDescent="0.3">
      <c r="A152" s="161" t="e">
        <f>#REF!</f>
        <v>#REF!</v>
      </c>
      <c r="B152" s="161" t="e">
        <f>#REF!</f>
        <v>#REF!</v>
      </c>
      <c r="C152" s="161" t="e">
        <f>#REF!</f>
        <v>#REF!</v>
      </c>
      <c r="D152" s="161" t="e">
        <f>#REF!</f>
        <v>#REF!</v>
      </c>
      <c r="E152" s="161" t="e">
        <f>#REF!</f>
        <v>#REF!</v>
      </c>
      <c r="F152" s="161" t="e">
        <f>#REF!</f>
        <v>#REF!</v>
      </c>
      <c r="G152" s="161" t="e">
        <f>#REF!</f>
        <v>#REF!</v>
      </c>
      <c r="H152" s="161" t="e">
        <f>#REF!</f>
        <v>#REF!</v>
      </c>
    </row>
    <row r="153" spans="1:8" x14ac:dyDescent="0.3">
      <c r="A153" s="161" t="e">
        <f>#REF!</f>
        <v>#REF!</v>
      </c>
      <c r="B153" s="161" t="e">
        <f>#REF!</f>
        <v>#REF!</v>
      </c>
      <c r="C153" s="161" t="e">
        <f>#REF!</f>
        <v>#REF!</v>
      </c>
      <c r="D153" s="161" t="e">
        <f>#REF!</f>
        <v>#REF!</v>
      </c>
      <c r="E153" s="161" t="e">
        <f>#REF!</f>
        <v>#REF!</v>
      </c>
      <c r="F153" s="161" t="e">
        <f>#REF!</f>
        <v>#REF!</v>
      </c>
      <c r="G153" s="161" t="e">
        <f>#REF!</f>
        <v>#REF!</v>
      </c>
      <c r="H153" s="161" t="e">
        <f>#REF!</f>
        <v>#REF!</v>
      </c>
    </row>
    <row r="154" spans="1:8" x14ac:dyDescent="0.3">
      <c r="A154" s="161" t="e">
        <f>#REF!</f>
        <v>#REF!</v>
      </c>
      <c r="B154" s="161" t="e">
        <f>#REF!</f>
        <v>#REF!</v>
      </c>
      <c r="C154" s="161" t="e">
        <f>#REF!</f>
        <v>#REF!</v>
      </c>
      <c r="D154" s="161" t="e">
        <f>#REF!</f>
        <v>#REF!</v>
      </c>
      <c r="E154" s="161" t="e">
        <f>#REF!</f>
        <v>#REF!</v>
      </c>
      <c r="F154" s="161" t="e">
        <f>#REF!</f>
        <v>#REF!</v>
      </c>
      <c r="G154" s="161" t="e">
        <f>#REF!</f>
        <v>#REF!</v>
      </c>
      <c r="H154" s="161" t="e">
        <f>#REF!</f>
        <v>#REF!</v>
      </c>
    </row>
    <row r="155" spans="1:8" x14ac:dyDescent="0.3">
      <c r="A155" s="161" t="e">
        <f>#REF!</f>
        <v>#REF!</v>
      </c>
      <c r="B155" s="161" t="e">
        <f>#REF!</f>
        <v>#REF!</v>
      </c>
      <c r="C155" s="161" t="e">
        <f>#REF!</f>
        <v>#REF!</v>
      </c>
      <c r="D155" s="161" t="e">
        <f>#REF!</f>
        <v>#REF!</v>
      </c>
      <c r="E155" s="161" t="e">
        <f>#REF!</f>
        <v>#REF!</v>
      </c>
      <c r="F155" s="161" t="e">
        <f>#REF!</f>
        <v>#REF!</v>
      </c>
      <c r="G155" s="161" t="e">
        <f>#REF!</f>
        <v>#REF!</v>
      </c>
      <c r="H155" s="161" t="e">
        <f>#REF!</f>
        <v>#REF!</v>
      </c>
    </row>
    <row r="156" spans="1:8" x14ac:dyDescent="0.3">
      <c r="A156" s="161" t="e">
        <f>#REF!</f>
        <v>#REF!</v>
      </c>
      <c r="B156" s="161" t="e">
        <f>#REF!</f>
        <v>#REF!</v>
      </c>
      <c r="C156" s="161" t="e">
        <f>#REF!</f>
        <v>#REF!</v>
      </c>
      <c r="D156" s="161" t="e">
        <f>#REF!</f>
        <v>#REF!</v>
      </c>
      <c r="E156" s="161" t="e">
        <f>#REF!</f>
        <v>#REF!</v>
      </c>
      <c r="F156" s="161" t="e">
        <f>#REF!</f>
        <v>#REF!</v>
      </c>
      <c r="G156" s="161" t="e">
        <f>#REF!</f>
        <v>#REF!</v>
      </c>
      <c r="H156" s="161" t="e">
        <f>#REF!</f>
        <v>#REF!</v>
      </c>
    </row>
    <row r="157" spans="1:8" x14ac:dyDescent="0.3">
      <c r="A157" s="161" t="e">
        <f>#REF!</f>
        <v>#REF!</v>
      </c>
      <c r="B157" s="161" t="e">
        <f>#REF!</f>
        <v>#REF!</v>
      </c>
      <c r="C157" s="161" t="e">
        <f>#REF!</f>
        <v>#REF!</v>
      </c>
      <c r="D157" s="161" t="e">
        <f>#REF!</f>
        <v>#REF!</v>
      </c>
      <c r="E157" s="161" t="e">
        <f>#REF!</f>
        <v>#REF!</v>
      </c>
      <c r="F157" s="161" t="e">
        <f>#REF!</f>
        <v>#REF!</v>
      </c>
      <c r="G157" s="161" t="e">
        <f>#REF!</f>
        <v>#REF!</v>
      </c>
      <c r="H157" s="161" t="e">
        <f>#REF!</f>
        <v>#REF!</v>
      </c>
    </row>
    <row r="158" spans="1:8" x14ac:dyDescent="0.3">
      <c r="A158" s="161" t="e">
        <f>#REF!</f>
        <v>#REF!</v>
      </c>
      <c r="B158" s="161" t="e">
        <f>#REF!</f>
        <v>#REF!</v>
      </c>
      <c r="C158" s="161" t="e">
        <f>#REF!</f>
        <v>#REF!</v>
      </c>
      <c r="D158" s="161" t="e">
        <f>#REF!</f>
        <v>#REF!</v>
      </c>
      <c r="E158" s="161" t="e">
        <f>#REF!</f>
        <v>#REF!</v>
      </c>
      <c r="F158" s="161" t="e">
        <f>#REF!</f>
        <v>#REF!</v>
      </c>
      <c r="G158" s="161" t="e">
        <f>#REF!</f>
        <v>#REF!</v>
      </c>
      <c r="H158" s="161" t="e">
        <f>#REF!</f>
        <v>#REF!</v>
      </c>
    </row>
    <row r="159" spans="1:8" x14ac:dyDescent="0.3">
      <c r="A159" s="161" t="e">
        <f>#REF!</f>
        <v>#REF!</v>
      </c>
      <c r="B159" s="161" t="e">
        <f>#REF!</f>
        <v>#REF!</v>
      </c>
      <c r="C159" s="161" t="e">
        <f>#REF!</f>
        <v>#REF!</v>
      </c>
      <c r="D159" s="161" t="e">
        <f>#REF!</f>
        <v>#REF!</v>
      </c>
      <c r="E159" s="161" t="e">
        <f>#REF!</f>
        <v>#REF!</v>
      </c>
      <c r="F159" s="161" t="e">
        <f>#REF!</f>
        <v>#REF!</v>
      </c>
      <c r="G159" s="161" t="e">
        <f>#REF!</f>
        <v>#REF!</v>
      </c>
      <c r="H159" s="161" t="e">
        <f>#REF!</f>
        <v>#REF!</v>
      </c>
    </row>
    <row r="160" spans="1:8" x14ac:dyDescent="0.3">
      <c r="A160" s="161" t="e">
        <f>#REF!</f>
        <v>#REF!</v>
      </c>
      <c r="B160" s="161" t="e">
        <f>#REF!</f>
        <v>#REF!</v>
      </c>
      <c r="C160" s="161" t="e">
        <f>#REF!</f>
        <v>#REF!</v>
      </c>
      <c r="D160" s="161" t="e">
        <f>#REF!</f>
        <v>#REF!</v>
      </c>
      <c r="E160" s="161" t="e">
        <f>#REF!</f>
        <v>#REF!</v>
      </c>
      <c r="F160" s="161" t="e">
        <f>#REF!</f>
        <v>#REF!</v>
      </c>
      <c r="G160" s="161" t="e">
        <f>#REF!</f>
        <v>#REF!</v>
      </c>
      <c r="H160" s="161" t="e">
        <f>#REF!</f>
        <v>#REF!</v>
      </c>
    </row>
    <row r="161" spans="1:8" x14ac:dyDescent="0.3">
      <c r="A161" s="161" t="e">
        <f>#REF!</f>
        <v>#REF!</v>
      </c>
      <c r="B161" s="161" t="e">
        <f>#REF!</f>
        <v>#REF!</v>
      </c>
      <c r="C161" s="161" t="e">
        <f>#REF!</f>
        <v>#REF!</v>
      </c>
      <c r="D161" s="161" t="e">
        <f>#REF!</f>
        <v>#REF!</v>
      </c>
      <c r="E161" s="161" t="e">
        <f>#REF!</f>
        <v>#REF!</v>
      </c>
      <c r="F161" s="161" t="e">
        <f>#REF!</f>
        <v>#REF!</v>
      </c>
      <c r="G161" s="161" t="e">
        <f>#REF!</f>
        <v>#REF!</v>
      </c>
      <c r="H161" s="161" t="e">
        <f>#REF!</f>
        <v>#REF!</v>
      </c>
    </row>
    <row r="162" spans="1:8" x14ac:dyDescent="0.3">
      <c r="A162" s="161" t="e">
        <f>#REF!</f>
        <v>#REF!</v>
      </c>
      <c r="B162" s="161" t="e">
        <f>#REF!</f>
        <v>#REF!</v>
      </c>
      <c r="C162" s="161" t="e">
        <f>#REF!</f>
        <v>#REF!</v>
      </c>
      <c r="D162" s="161" t="e">
        <f>#REF!</f>
        <v>#REF!</v>
      </c>
      <c r="E162" s="161" t="e">
        <f>#REF!</f>
        <v>#REF!</v>
      </c>
      <c r="F162" s="161" t="e">
        <f>#REF!</f>
        <v>#REF!</v>
      </c>
      <c r="G162" s="161" t="e">
        <f>#REF!</f>
        <v>#REF!</v>
      </c>
      <c r="H162" s="161" t="e">
        <f>#REF!</f>
        <v>#REF!</v>
      </c>
    </row>
    <row r="163" spans="1:8" x14ac:dyDescent="0.3">
      <c r="A163" s="161" t="e">
        <f>#REF!</f>
        <v>#REF!</v>
      </c>
      <c r="B163" s="161" t="e">
        <f>#REF!</f>
        <v>#REF!</v>
      </c>
      <c r="C163" s="161" t="e">
        <f>#REF!</f>
        <v>#REF!</v>
      </c>
      <c r="D163" s="161" t="e">
        <f>#REF!</f>
        <v>#REF!</v>
      </c>
      <c r="E163" s="161" t="e">
        <f>#REF!</f>
        <v>#REF!</v>
      </c>
      <c r="F163" s="161" t="e">
        <f>#REF!</f>
        <v>#REF!</v>
      </c>
      <c r="G163" s="161" t="e">
        <f>#REF!</f>
        <v>#REF!</v>
      </c>
      <c r="H163" s="161" t="e">
        <f>#REF!</f>
        <v>#REF!</v>
      </c>
    </row>
    <row r="164" spans="1:8" x14ac:dyDescent="0.3">
      <c r="A164" s="161" t="e">
        <f>#REF!</f>
        <v>#REF!</v>
      </c>
      <c r="B164" s="161" t="e">
        <f>#REF!</f>
        <v>#REF!</v>
      </c>
      <c r="C164" s="161" t="e">
        <f>#REF!</f>
        <v>#REF!</v>
      </c>
      <c r="D164" s="161" t="e">
        <f>#REF!</f>
        <v>#REF!</v>
      </c>
      <c r="E164" s="161" t="e">
        <f>#REF!</f>
        <v>#REF!</v>
      </c>
      <c r="F164" s="161" t="e">
        <f>#REF!</f>
        <v>#REF!</v>
      </c>
      <c r="G164" s="161" t="e">
        <f>#REF!</f>
        <v>#REF!</v>
      </c>
      <c r="H164" s="161" t="e">
        <f>#REF!</f>
        <v>#REF!</v>
      </c>
    </row>
    <row r="165" spans="1:8" x14ac:dyDescent="0.3">
      <c r="A165" s="161" t="e">
        <f>#REF!</f>
        <v>#REF!</v>
      </c>
      <c r="B165" s="161" t="e">
        <f>#REF!</f>
        <v>#REF!</v>
      </c>
      <c r="C165" s="161" t="e">
        <f>#REF!</f>
        <v>#REF!</v>
      </c>
      <c r="D165" s="161" t="e">
        <f>#REF!</f>
        <v>#REF!</v>
      </c>
      <c r="E165" s="161" t="e">
        <f>#REF!</f>
        <v>#REF!</v>
      </c>
      <c r="F165" s="161" t="e">
        <f>#REF!</f>
        <v>#REF!</v>
      </c>
      <c r="G165" s="161" t="e">
        <f>#REF!</f>
        <v>#REF!</v>
      </c>
      <c r="H165" s="161" t="e">
        <f>#REF!</f>
        <v>#REF!</v>
      </c>
    </row>
    <row r="166" spans="1:8" x14ac:dyDescent="0.3">
      <c r="A166" s="161" t="e">
        <f>#REF!</f>
        <v>#REF!</v>
      </c>
      <c r="B166" s="161" t="e">
        <f>#REF!</f>
        <v>#REF!</v>
      </c>
      <c r="C166" s="161" t="e">
        <f>#REF!</f>
        <v>#REF!</v>
      </c>
      <c r="D166" s="161" t="e">
        <f>#REF!</f>
        <v>#REF!</v>
      </c>
      <c r="E166" s="161" t="e">
        <f>#REF!</f>
        <v>#REF!</v>
      </c>
      <c r="F166" s="161" t="e">
        <f>#REF!</f>
        <v>#REF!</v>
      </c>
      <c r="G166" s="161" t="e">
        <f>#REF!</f>
        <v>#REF!</v>
      </c>
      <c r="H166" s="161" t="e">
        <f>#REF!</f>
        <v>#REF!</v>
      </c>
    </row>
    <row r="167" spans="1:8" x14ac:dyDescent="0.3">
      <c r="A167" s="161" t="e">
        <f>#REF!</f>
        <v>#REF!</v>
      </c>
      <c r="B167" s="161" t="e">
        <f>#REF!</f>
        <v>#REF!</v>
      </c>
      <c r="C167" s="161" t="e">
        <f>#REF!</f>
        <v>#REF!</v>
      </c>
      <c r="D167" s="161" t="e">
        <f>#REF!</f>
        <v>#REF!</v>
      </c>
      <c r="E167" s="161" t="e">
        <f>#REF!</f>
        <v>#REF!</v>
      </c>
      <c r="F167" s="161" t="e">
        <f>#REF!</f>
        <v>#REF!</v>
      </c>
      <c r="G167" s="161" t="e">
        <f>#REF!</f>
        <v>#REF!</v>
      </c>
      <c r="H167" s="161" t="e">
        <f>#REF!</f>
        <v>#REF!</v>
      </c>
    </row>
    <row r="168" spans="1:8" x14ac:dyDescent="0.3">
      <c r="A168" s="161" t="e">
        <f>#REF!</f>
        <v>#REF!</v>
      </c>
      <c r="B168" s="161" t="e">
        <f>#REF!</f>
        <v>#REF!</v>
      </c>
      <c r="C168" s="161" t="e">
        <f>#REF!</f>
        <v>#REF!</v>
      </c>
      <c r="D168" s="161" t="e">
        <f>#REF!</f>
        <v>#REF!</v>
      </c>
      <c r="E168" s="161" t="e">
        <f>#REF!</f>
        <v>#REF!</v>
      </c>
      <c r="F168" s="161" t="e">
        <f>#REF!</f>
        <v>#REF!</v>
      </c>
      <c r="G168" s="161" t="e">
        <f>#REF!</f>
        <v>#REF!</v>
      </c>
      <c r="H168" s="161" t="e">
        <f>#REF!</f>
        <v>#REF!</v>
      </c>
    </row>
    <row r="169" spans="1:8" x14ac:dyDescent="0.3">
      <c r="A169" s="161" t="e">
        <f>#REF!</f>
        <v>#REF!</v>
      </c>
      <c r="B169" s="161" t="e">
        <f>#REF!</f>
        <v>#REF!</v>
      </c>
      <c r="C169" s="161" t="e">
        <f>#REF!</f>
        <v>#REF!</v>
      </c>
      <c r="D169" s="161" t="e">
        <f>#REF!</f>
        <v>#REF!</v>
      </c>
      <c r="E169" s="161" t="e">
        <f>#REF!</f>
        <v>#REF!</v>
      </c>
      <c r="F169" s="161" t="e">
        <f>#REF!</f>
        <v>#REF!</v>
      </c>
      <c r="G169" s="161" t="e">
        <f>#REF!</f>
        <v>#REF!</v>
      </c>
      <c r="H169" s="161" t="e">
        <f>#REF!</f>
        <v>#REF!</v>
      </c>
    </row>
    <row r="170" spans="1:8" x14ac:dyDescent="0.3">
      <c r="A170" s="161" t="e">
        <f>#REF!</f>
        <v>#REF!</v>
      </c>
      <c r="B170" s="161" t="e">
        <f>#REF!</f>
        <v>#REF!</v>
      </c>
      <c r="C170" s="161" t="e">
        <f>#REF!</f>
        <v>#REF!</v>
      </c>
      <c r="D170" s="161" t="e">
        <f>#REF!</f>
        <v>#REF!</v>
      </c>
      <c r="E170" s="161" t="e">
        <f>#REF!</f>
        <v>#REF!</v>
      </c>
      <c r="F170" s="161" t="e">
        <f>#REF!</f>
        <v>#REF!</v>
      </c>
      <c r="G170" s="161" t="e">
        <f>#REF!</f>
        <v>#REF!</v>
      </c>
      <c r="H170" s="161" t="e">
        <f>#REF!</f>
        <v>#REF!</v>
      </c>
    </row>
    <row r="171" spans="1:8" x14ac:dyDescent="0.3">
      <c r="A171" s="161" t="e">
        <f>#REF!</f>
        <v>#REF!</v>
      </c>
      <c r="B171" s="161" t="e">
        <f>#REF!</f>
        <v>#REF!</v>
      </c>
      <c r="C171" s="161" t="e">
        <f>#REF!</f>
        <v>#REF!</v>
      </c>
      <c r="D171" s="161" t="e">
        <f>#REF!</f>
        <v>#REF!</v>
      </c>
      <c r="E171" s="161" t="e">
        <f>#REF!</f>
        <v>#REF!</v>
      </c>
      <c r="F171" s="161" t="e">
        <f>#REF!</f>
        <v>#REF!</v>
      </c>
      <c r="G171" s="161" t="e">
        <f>#REF!</f>
        <v>#REF!</v>
      </c>
      <c r="H171" s="161" t="e">
        <f>#REF!</f>
        <v>#REF!</v>
      </c>
    </row>
    <row r="172" spans="1:8" x14ac:dyDescent="0.3">
      <c r="A172" s="161" t="e">
        <f>#REF!</f>
        <v>#REF!</v>
      </c>
      <c r="B172" s="161" t="e">
        <f>#REF!</f>
        <v>#REF!</v>
      </c>
      <c r="C172" s="161" t="e">
        <f>#REF!</f>
        <v>#REF!</v>
      </c>
      <c r="D172" s="161" t="e">
        <f>#REF!</f>
        <v>#REF!</v>
      </c>
      <c r="E172" s="161" t="e">
        <f>#REF!</f>
        <v>#REF!</v>
      </c>
      <c r="F172" s="161" t="e">
        <f>#REF!</f>
        <v>#REF!</v>
      </c>
      <c r="G172" s="161" t="e">
        <f>#REF!</f>
        <v>#REF!</v>
      </c>
      <c r="H172" s="161" t="e">
        <f>#REF!</f>
        <v>#REF!</v>
      </c>
    </row>
    <row r="173" spans="1:8" x14ac:dyDescent="0.3">
      <c r="A173" s="161" t="e">
        <f>#REF!</f>
        <v>#REF!</v>
      </c>
      <c r="B173" s="161" t="e">
        <f>#REF!</f>
        <v>#REF!</v>
      </c>
      <c r="C173" s="161" t="e">
        <f>#REF!</f>
        <v>#REF!</v>
      </c>
      <c r="D173" s="161" t="e">
        <f>#REF!</f>
        <v>#REF!</v>
      </c>
      <c r="E173" s="161" t="e">
        <f>#REF!</f>
        <v>#REF!</v>
      </c>
      <c r="F173" s="161" t="e">
        <f>#REF!</f>
        <v>#REF!</v>
      </c>
      <c r="G173" s="161" t="e">
        <f>#REF!</f>
        <v>#REF!</v>
      </c>
      <c r="H173" s="161" t="e">
        <f>#REF!</f>
        <v>#REF!</v>
      </c>
    </row>
    <row r="174" spans="1:8" x14ac:dyDescent="0.3">
      <c r="A174" s="161" t="e">
        <f>#REF!</f>
        <v>#REF!</v>
      </c>
      <c r="B174" s="161" t="e">
        <f>#REF!</f>
        <v>#REF!</v>
      </c>
      <c r="C174" s="161" t="e">
        <f>#REF!</f>
        <v>#REF!</v>
      </c>
      <c r="D174" s="161" t="e">
        <f>#REF!</f>
        <v>#REF!</v>
      </c>
      <c r="E174" s="161" t="e">
        <f>#REF!</f>
        <v>#REF!</v>
      </c>
      <c r="F174" s="161" t="e">
        <f>#REF!</f>
        <v>#REF!</v>
      </c>
      <c r="G174" s="161" t="e">
        <f>#REF!</f>
        <v>#REF!</v>
      </c>
      <c r="H174" s="161" t="e">
        <f>#REF!</f>
        <v>#REF!</v>
      </c>
    </row>
    <row r="175" spans="1:8" x14ac:dyDescent="0.3">
      <c r="A175" s="161" t="e">
        <f>#REF!</f>
        <v>#REF!</v>
      </c>
      <c r="B175" s="161" t="e">
        <f>#REF!</f>
        <v>#REF!</v>
      </c>
      <c r="C175" s="161" t="e">
        <f>#REF!</f>
        <v>#REF!</v>
      </c>
      <c r="D175" s="161" t="e">
        <f>#REF!</f>
        <v>#REF!</v>
      </c>
      <c r="E175" s="161" t="e">
        <f>#REF!</f>
        <v>#REF!</v>
      </c>
      <c r="F175" s="161" t="e">
        <f>#REF!</f>
        <v>#REF!</v>
      </c>
      <c r="G175" s="161" t="e">
        <f>#REF!</f>
        <v>#REF!</v>
      </c>
      <c r="H175" s="161" t="e">
        <f>#REF!</f>
        <v>#REF!</v>
      </c>
    </row>
    <row r="176" spans="1:8" x14ac:dyDescent="0.3">
      <c r="A176" s="161" t="e">
        <f>#REF!</f>
        <v>#REF!</v>
      </c>
      <c r="B176" s="161" t="e">
        <f>#REF!</f>
        <v>#REF!</v>
      </c>
      <c r="C176" s="161" t="e">
        <f>#REF!</f>
        <v>#REF!</v>
      </c>
      <c r="D176" s="161" t="e">
        <f>#REF!</f>
        <v>#REF!</v>
      </c>
      <c r="E176" s="161" t="e">
        <f>#REF!</f>
        <v>#REF!</v>
      </c>
      <c r="F176" s="161" t="e">
        <f>#REF!</f>
        <v>#REF!</v>
      </c>
      <c r="G176" s="161" t="e">
        <f>#REF!</f>
        <v>#REF!</v>
      </c>
      <c r="H176" s="161" t="e">
        <f>#REF!</f>
        <v>#REF!</v>
      </c>
    </row>
    <row r="177" spans="1:8" x14ac:dyDescent="0.3">
      <c r="A177" s="161" t="e">
        <f>#REF!</f>
        <v>#REF!</v>
      </c>
      <c r="B177" s="161" t="e">
        <f>#REF!</f>
        <v>#REF!</v>
      </c>
      <c r="C177" s="161" t="e">
        <f>#REF!</f>
        <v>#REF!</v>
      </c>
      <c r="D177" s="161" t="e">
        <f>#REF!</f>
        <v>#REF!</v>
      </c>
      <c r="E177" s="161" t="e">
        <f>#REF!</f>
        <v>#REF!</v>
      </c>
      <c r="F177" s="161" t="e">
        <f>#REF!</f>
        <v>#REF!</v>
      </c>
      <c r="G177" s="161" t="e">
        <f>#REF!</f>
        <v>#REF!</v>
      </c>
      <c r="H177" s="161" t="e">
        <f>#REF!</f>
        <v>#REF!</v>
      </c>
    </row>
    <row r="178" spans="1:8" x14ac:dyDescent="0.3">
      <c r="A178" s="161" t="e">
        <f>#REF!</f>
        <v>#REF!</v>
      </c>
      <c r="B178" s="161" t="e">
        <f>#REF!</f>
        <v>#REF!</v>
      </c>
      <c r="C178" s="161" t="e">
        <f>#REF!</f>
        <v>#REF!</v>
      </c>
      <c r="D178" s="161" t="e">
        <f>#REF!</f>
        <v>#REF!</v>
      </c>
      <c r="E178" s="161" t="e">
        <f>#REF!</f>
        <v>#REF!</v>
      </c>
      <c r="F178" s="161" t="e">
        <f>#REF!</f>
        <v>#REF!</v>
      </c>
      <c r="G178" s="161" t="e">
        <f>#REF!</f>
        <v>#REF!</v>
      </c>
      <c r="H178" s="161" t="e">
        <f>#REF!</f>
        <v>#REF!</v>
      </c>
    </row>
    <row r="179" spans="1:8" x14ac:dyDescent="0.3">
      <c r="A179" s="161" t="e">
        <f>#REF!</f>
        <v>#REF!</v>
      </c>
      <c r="B179" s="161" t="e">
        <f>#REF!</f>
        <v>#REF!</v>
      </c>
      <c r="C179" s="161" t="e">
        <f>#REF!</f>
        <v>#REF!</v>
      </c>
      <c r="D179" s="161" t="e">
        <f>#REF!</f>
        <v>#REF!</v>
      </c>
      <c r="E179" s="161" t="e">
        <f>#REF!</f>
        <v>#REF!</v>
      </c>
      <c r="F179" s="161" t="e">
        <f>#REF!</f>
        <v>#REF!</v>
      </c>
      <c r="G179" s="161" t="e">
        <f>#REF!</f>
        <v>#REF!</v>
      </c>
      <c r="H179" s="161" t="e">
        <f>#REF!</f>
        <v>#REF!</v>
      </c>
    </row>
    <row r="180" spans="1:8" x14ac:dyDescent="0.3">
      <c r="A180" s="161" t="e">
        <f>#REF!</f>
        <v>#REF!</v>
      </c>
      <c r="B180" s="161" t="e">
        <f>#REF!</f>
        <v>#REF!</v>
      </c>
      <c r="C180" s="161" t="e">
        <f>#REF!</f>
        <v>#REF!</v>
      </c>
      <c r="D180" s="161" t="e">
        <f>#REF!</f>
        <v>#REF!</v>
      </c>
      <c r="E180" s="161" t="e">
        <f>#REF!</f>
        <v>#REF!</v>
      </c>
      <c r="F180" s="161" t="e">
        <f>#REF!</f>
        <v>#REF!</v>
      </c>
      <c r="G180" s="161" t="e">
        <f>#REF!</f>
        <v>#REF!</v>
      </c>
      <c r="H180" s="161" t="e">
        <f>#REF!</f>
        <v>#REF!</v>
      </c>
    </row>
    <row r="181" spans="1:8" x14ac:dyDescent="0.3">
      <c r="A181" s="161" t="e">
        <f>#REF!</f>
        <v>#REF!</v>
      </c>
      <c r="B181" s="161" t="e">
        <f>#REF!</f>
        <v>#REF!</v>
      </c>
      <c r="C181" s="161" t="e">
        <f>#REF!</f>
        <v>#REF!</v>
      </c>
      <c r="D181" s="161" t="e">
        <f>#REF!</f>
        <v>#REF!</v>
      </c>
      <c r="E181" s="161" t="e">
        <f>#REF!</f>
        <v>#REF!</v>
      </c>
      <c r="F181" s="161" t="e">
        <f>#REF!</f>
        <v>#REF!</v>
      </c>
      <c r="G181" s="161" t="e">
        <f>#REF!</f>
        <v>#REF!</v>
      </c>
      <c r="H181" s="161" t="e">
        <f>#REF!</f>
        <v>#REF!</v>
      </c>
    </row>
    <row r="182" spans="1:8" x14ac:dyDescent="0.3">
      <c r="A182" s="161" t="e">
        <f>#REF!</f>
        <v>#REF!</v>
      </c>
      <c r="B182" s="161" t="e">
        <f>#REF!</f>
        <v>#REF!</v>
      </c>
      <c r="C182" s="161" t="e">
        <f>#REF!</f>
        <v>#REF!</v>
      </c>
      <c r="D182" s="161" t="e">
        <f>#REF!</f>
        <v>#REF!</v>
      </c>
      <c r="E182" s="161" t="e">
        <f>#REF!</f>
        <v>#REF!</v>
      </c>
      <c r="F182" s="161" t="e">
        <f>#REF!</f>
        <v>#REF!</v>
      </c>
      <c r="G182" s="161" t="e">
        <f>#REF!</f>
        <v>#REF!</v>
      </c>
      <c r="H182" s="161" t="e">
        <f>#REF!</f>
        <v>#REF!</v>
      </c>
    </row>
    <row r="183" spans="1:8" x14ac:dyDescent="0.3">
      <c r="A183" s="161" t="e">
        <f>#REF!</f>
        <v>#REF!</v>
      </c>
      <c r="B183" s="161" t="e">
        <f>#REF!</f>
        <v>#REF!</v>
      </c>
      <c r="C183" s="161" t="e">
        <f>#REF!</f>
        <v>#REF!</v>
      </c>
      <c r="D183" s="161" t="e">
        <f>#REF!</f>
        <v>#REF!</v>
      </c>
      <c r="E183" s="161" t="e">
        <f>#REF!</f>
        <v>#REF!</v>
      </c>
      <c r="F183" s="161" t="e">
        <f>#REF!</f>
        <v>#REF!</v>
      </c>
      <c r="G183" s="161" t="e">
        <f>#REF!</f>
        <v>#REF!</v>
      </c>
      <c r="H183" s="161" t="e">
        <f>#REF!</f>
        <v>#REF!</v>
      </c>
    </row>
    <row r="184" spans="1:8" x14ac:dyDescent="0.3">
      <c r="A184" s="161" t="e">
        <f>#REF!</f>
        <v>#REF!</v>
      </c>
      <c r="B184" s="161" t="e">
        <f>#REF!</f>
        <v>#REF!</v>
      </c>
      <c r="C184" s="161" t="e">
        <f>#REF!</f>
        <v>#REF!</v>
      </c>
      <c r="D184" s="161" t="e">
        <f>#REF!</f>
        <v>#REF!</v>
      </c>
      <c r="E184" s="161" t="e">
        <f>#REF!</f>
        <v>#REF!</v>
      </c>
      <c r="F184" s="161" t="e">
        <f>#REF!</f>
        <v>#REF!</v>
      </c>
      <c r="G184" s="161" t="e">
        <f>#REF!</f>
        <v>#REF!</v>
      </c>
      <c r="H184" s="161" t="e">
        <f>#REF!</f>
        <v>#REF!</v>
      </c>
    </row>
    <row r="185" spans="1:8" x14ac:dyDescent="0.3">
      <c r="A185" s="161" t="e">
        <f>#REF!</f>
        <v>#REF!</v>
      </c>
      <c r="B185" s="161" t="e">
        <f>#REF!</f>
        <v>#REF!</v>
      </c>
      <c r="C185" s="161" t="e">
        <f>#REF!</f>
        <v>#REF!</v>
      </c>
      <c r="D185" s="161" t="e">
        <f>#REF!</f>
        <v>#REF!</v>
      </c>
      <c r="E185" s="161" t="e">
        <f>#REF!</f>
        <v>#REF!</v>
      </c>
      <c r="F185" s="161" t="e">
        <f>#REF!</f>
        <v>#REF!</v>
      </c>
      <c r="G185" s="161" t="e">
        <f>#REF!</f>
        <v>#REF!</v>
      </c>
      <c r="H185" s="161" t="e">
        <f>#REF!</f>
        <v>#REF!</v>
      </c>
    </row>
    <row r="186" spans="1:8" x14ac:dyDescent="0.3">
      <c r="A186" s="161" t="e">
        <f>#REF!</f>
        <v>#REF!</v>
      </c>
      <c r="B186" s="161" t="e">
        <f>#REF!</f>
        <v>#REF!</v>
      </c>
      <c r="C186" s="161" t="e">
        <f>#REF!</f>
        <v>#REF!</v>
      </c>
      <c r="D186" s="161" t="e">
        <f>#REF!</f>
        <v>#REF!</v>
      </c>
      <c r="E186" s="161" t="e">
        <f>#REF!</f>
        <v>#REF!</v>
      </c>
      <c r="F186" s="161" t="e">
        <f>#REF!</f>
        <v>#REF!</v>
      </c>
      <c r="G186" s="161" t="e">
        <f>#REF!</f>
        <v>#REF!</v>
      </c>
      <c r="H186" s="161" t="e">
        <f>#REF!</f>
        <v>#REF!</v>
      </c>
    </row>
    <row r="187" spans="1:8" x14ac:dyDescent="0.3">
      <c r="A187" s="161" t="e">
        <f>#REF!</f>
        <v>#REF!</v>
      </c>
      <c r="B187" s="161" t="e">
        <f>#REF!</f>
        <v>#REF!</v>
      </c>
      <c r="C187" s="161" t="e">
        <f>#REF!</f>
        <v>#REF!</v>
      </c>
      <c r="D187" s="161" t="e">
        <f>#REF!</f>
        <v>#REF!</v>
      </c>
      <c r="E187" s="161" t="e">
        <f>#REF!</f>
        <v>#REF!</v>
      </c>
      <c r="F187" s="161" t="e">
        <f>#REF!</f>
        <v>#REF!</v>
      </c>
      <c r="G187" s="161" t="e">
        <f>#REF!</f>
        <v>#REF!</v>
      </c>
      <c r="H187" s="161" t="e">
        <f>#REF!</f>
        <v>#REF!</v>
      </c>
    </row>
    <row r="188" spans="1:8" x14ac:dyDescent="0.3">
      <c r="A188" s="161" t="e">
        <f>#REF!</f>
        <v>#REF!</v>
      </c>
      <c r="B188" s="161" t="e">
        <f>#REF!</f>
        <v>#REF!</v>
      </c>
      <c r="C188" s="161" t="e">
        <f>#REF!</f>
        <v>#REF!</v>
      </c>
      <c r="D188" s="161" t="e">
        <f>#REF!</f>
        <v>#REF!</v>
      </c>
      <c r="E188" s="161" t="e">
        <f>#REF!</f>
        <v>#REF!</v>
      </c>
      <c r="F188" s="161" t="e">
        <f>#REF!</f>
        <v>#REF!</v>
      </c>
      <c r="G188" s="161" t="e">
        <f>#REF!</f>
        <v>#REF!</v>
      </c>
      <c r="H188" s="161" t="e">
        <f>#REF!</f>
        <v>#REF!</v>
      </c>
    </row>
    <row r="189" spans="1:8" x14ac:dyDescent="0.3">
      <c r="A189" s="161" t="e">
        <f>#REF!</f>
        <v>#REF!</v>
      </c>
      <c r="B189" s="161" t="e">
        <f>#REF!</f>
        <v>#REF!</v>
      </c>
      <c r="C189" s="161" t="e">
        <f>#REF!</f>
        <v>#REF!</v>
      </c>
      <c r="D189" s="161" t="e">
        <f>#REF!</f>
        <v>#REF!</v>
      </c>
      <c r="E189" s="161" t="e">
        <f>#REF!</f>
        <v>#REF!</v>
      </c>
      <c r="F189" s="161" t="e">
        <f>#REF!</f>
        <v>#REF!</v>
      </c>
      <c r="G189" s="161" t="e">
        <f>#REF!</f>
        <v>#REF!</v>
      </c>
      <c r="H189" s="161" t="e">
        <f>#REF!</f>
        <v>#REF!</v>
      </c>
    </row>
    <row r="190" spans="1:8" x14ac:dyDescent="0.3">
      <c r="A190" s="161" t="e">
        <f>#REF!</f>
        <v>#REF!</v>
      </c>
      <c r="B190" s="161" t="e">
        <f>#REF!</f>
        <v>#REF!</v>
      </c>
      <c r="C190" s="161" t="e">
        <f>#REF!</f>
        <v>#REF!</v>
      </c>
      <c r="D190" s="161" t="e">
        <f>#REF!</f>
        <v>#REF!</v>
      </c>
      <c r="E190" s="161" t="e">
        <f>#REF!</f>
        <v>#REF!</v>
      </c>
      <c r="F190" s="161" t="e">
        <f>#REF!</f>
        <v>#REF!</v>
      </c>
      <c r="G190" s="161" t="e">
        <f>#REF!</f>
        <v>#REF!</v>
      </c>
      <c r="H190" s="161" t="e">
        <f>#REF!</f>
        <v>#REF!</v>
      </c>
    </row>
    <row r="191" spans="1:8" x14ac:dyDescent="0.3">
      <c r="A191" s="161" t="e">
        <f>#REF!</f>
        <v>#REF!</v>
      </c>
      <c r="B191" s="161" t="e">
        <f>#REF!</f>
        <v>#REF!</v>
      </c>
      <c r="C191" s="161" t="e">
        <f>#REF!</f>
        <v>#REF!</v>
      </c>
      <c r="D191" s="161" t="e">
        <f>#REF!</f>
        <v>#REF!</v>
      </c>
      <c r="E191" s="161" t="e">
        <f>#REF!</f>
        <v>#REF!</v>
      </c>
      <c r="F191" s="161" t="e">
        <f>#REF!</f>
        <v>#REF!</v>
      </c>
      <c r="G191" s="161" t="e">
        <f>#REF!</f>
        <v>#REF!</v>
      </c>
      <c r="H191" s="161" t="e">
        <f>#REF!</f>
        <v>#REF!</v>
      </c>
    </row>
    <row r="192" spans="1:8" x14ac:dyDescent="0.3">
      <c r="A192" s="161" t="e">
        <f>#REF!</f>
        <v>#REF!</v>
      </c>
      <c r="B192" s="161" t="e">
        <f>#REF!</f>
        <v>#REF!</v>
      </c>
      <c r="C192" s="161" t="e">
        <f>#REF!</f>
        <v>#REF!</v>
      </c>
      <c r="D192" s="161" t="e">
        <f>#REF!</f>
        <v>#REF!</v>
      </c>
      <c r="E192" s="161" t="e">
        <f>#REF!</f>
        <v>#REF!</v>
      </c>
      <c r="F192" s="161" t="e">
        <f>#REF!</f>
        <v>#REF!</v>
      </c>
      <c r="G192" s="161" t="e">
        <f>#REF!</f>
        <v>#REF!</v>
      </c>
      <c r="H192" s="161" t="e">
        <f>#REF!</f>
        <v>#REF!</v>
      </c>
    </row>
    <row r="193" spans="1:8" x14ac:dyDescent="0.3">
      <c r="A193" s="161" t="e">
        <f>#REF!</f>
        <v>#REF!</v>
      </c>
      <c r="B193" s="161" t="e">
        <f>#REF!</f>
        <v>#REF!</v>
      </c>
      <c r="C193" s="161" t="e">
        <f>#REF!</f>
        <v>#REF!</v>
      </c>
      <c r="D193" s="161" t="e">
        <f>#REF!</f>
        <v>#REF!</v>
      </c>
      <c r="E193" s="161" t="e">
        <f>#REF!</f>
        <v>#REF!</v>
      </c>
      <c r="F193" s="161" t="e">
        <f>#REF!</f>
        <v>#REF!</v>
      </c>
      <c r="G193" s="161" t="e">
        <f>#REF!</f>
        <v>#REF!</v>
      </c>
      <c r="H193" s="161" t="e">
        <f>#REF!</f>
        <v>#REF!</v>
      </c>
    </row>
    <row r="194" spans="1:8" x14ac:dyDescent="0.3">
      <c r="A194" s="161" t="e">
        <f>#REF!</f>
        <v>#REF!</v>
      </c>
      <c r="B194" s="161" t="e">
        <f>#REF!</f>
        <v>#REF!</v>
      </c>
      <c r="C194" s="161" t="e">
        <f>#REF!</f>
        <v>#REF!</v>
      </c>
      <c r="D194" s="161" t="e">
        <f>#REF!</f>
        <v>#REF!</v>
      </c>
      <c r="E194" s="161" t="e">
        <f>#REF!</f>
        <v>#REF!</v>
      </c>
      <c r="F194" s="161" t="e">
        <f>#REF!</f>
        <v>#REF!</v>
      </c>
      <c r="G194" s="161" t="e">
        <f>#REF!</f>
        <v>#REF!</v>
      </c>
      <c r="H194" s="161" t="e">
        <f>#REF!</f>
        <v>#REF!</v>
      </c>
    </row>
    <row r="195" spans="1:8" x14ac:dyDescent="0.3">
      <c r="A195" s="161" t="e">
        <f>#REF!</f>
        <v>#REF!</v>
      </c>
      <c r="B195" s="161" t="e">
        <f>#REF!</f>
        <v>#REF!</v>
      </c>
      <c r="C195" s="161" t="e">
        <f>#REF!</f>
        <v>#REF!</v>
      </c>
      <c r="D195" s="161" t="e">
        <f>#REF!</f>
        <v>#REF!</v>
      </c>
      <c r="E195" s="161" t="e">
        <f>#REF!</f>
        <v>#REF!</v>
      </c>
      <c r="F195" s="161" t="e">
        <f>#REF!</f>
        <v>#REF!</v>
      </c>
      <c r="G195" s="161" t="e">
        <f>#REF!</f>
        <v>#REF!</v>
      </c>
      <c r="H195" s="161" t="e">
        <f>#REF!</f>
        <v>#REF!</v>
      </c>
    </row>
    <row r="196" spans="1:8" x14ac:dyDescent="0.3">
      <c r="A196" s="161" t="e">
        <f>#REF!</f>
        <v>#REF!</v>
      </c>
      <c r="B196" s="161" t="e">
        <f>#REF!</f>
        <v>#REF!</v>
      </c>
      <c r="C196" s="161" t="e">
        <f>#REF!</f>
        <v>#REF!</v>
      </c>
      <c r="D196" s="161" t="e">
        <f>#REF!</f>
        <v>#REF!</v>
      </c>
      <c r="E196" s="161" t="e">
        <f>#REF!</f>
        <v>#REF!</v>
      </c>
      <c r="F196" s="161" t="e">
        <f>#REF!</f>
        <v>#REF!</v>
      </c>
      <c r="G196" s="161" t="e">
        <f>#REF!</f>
        <v>#REF!</v>
      </c>
      <c r="H196" s="161" t="e">
        <f>#REF!</f>
        <v>#REF!</v>
      </c>
    </row>
    <row r="197" spans="1:8" x14ac:dyDescent="0.3">
      <c r="A197" s="161" t="e">
        <f>#REF!</f>
        <v>#REF!</v>
      </c>
      <c r="B197" s="161" t="e">
        <f>#REF!</f>
        <v>#REF!</v>
      </c>
      <c r="C197" s="161" t="e">
        <f>#REF!</f>
        <v>#REF!</v>
      </c>
      <c r="D197" s="161" t="e">
        <f>#REF!</f>
        <v>#REF!</v>
      </c>
      <c r="E197" s="161" t="e">
        <f>#REF!</f>
        <v>#REF!</v>
      </c>
      <c r="F197" s="161" t="e">
        <f>#REF!</f>
        <v>#REF!</v>
      </c>
      <c r="G197" s="161" t="e">
        <f>#REF!</f>
        <v>#REF!</v>
      </c>
      <c r="H197" s="161" t="e">
        <f>#REF!</f>
        <v>#REF!</v>
      </c>
    </row>
    <row r="198" spans="1:8" x14ac:dyDescent="0.3">
      <c r="A198" s="161" t="e">
        <f>#REF!</f>
        <v>#REF!</v>
      </c>
      <c r="B198" s="161" t="e">
        <f>#REF!</f>
        <v>#REF!</v>
      </c>
      <c r="C198" s="161" t="e">
        <f>#REF!</f>
        <v>#REF!</v>
      </c>
      <c r="D198" s="161" t="e">
        <f>#REF!</f>
        <v>#REF!</v>
      </c>
      <c r="E198" s="161" t="e">
        <f>#REF!</f>
        <v>#REF!</v>
      </c>
      <c r="F198" s="161" t="e">
        <f>#REF!</f>
        <v>#REF!</v>
      </c>
      <c r="G198" s="161" t="e">
        <f>#REF!</f>
        <v>#REF!</v>
      </c>
      <c r="H198" s="161" t="e">
        <f>#REF!</f>
        <v>#REF!</v>
      </c>
    </row>
    <row r="199" spans="1:8" x14ac:dyDescent="0.3">
      <c r="A199" s="161" t="e">
        <f>#REF!</f>
        <v>#REF!</v>
      </c>
      <c r="B199" s="161" t="e">
        <f>#REF!</f>
        <v>#REF!</v>
      </c>
      <c r="C199" s="161" t="e">
        <f>#REF!</f>
        <v>#REF!</v>
      </c>
      <c r="D199" s="161" t="e">
        <f>#REF!</f>
        <v>#REF!</v>
      </c>
      <c r="E199" s="161" t="e">
        <f>#REF!</f>
        <v>#REF!</v>
      </c>
      <c r="F199" s="161" t="e">
        <f>#REF!</f>
        <v>#REF!</v>
      </c>
      <c r="G199" s="161" t="e">
        <f>#REF!</f>
        <v>#REF!</v>
      </c>
      <c r="H199" s="161" t="e">
        <f>#REF!</f>
        <v>#REF!</v>
      </c>
    </row>
    <row r="200" spans="1:8" x14ac:dyDescent="0.3">
      <c r="A200" s="161" t="e">
        <f>#REF!</f>
        <v>#REF!</v>
      </c>
      <c r="B200" s="161" t="e">
        <f>#REF!</f>
        <v>#REF!</v>
      </c>
      <c r="C200" s="161" t="e">
        <f>#REF!</f>
        <v>#REF!</v>
      </c>
      <c r="D200" s="161" t="e">
        <f>#REF!</f>
        <v>#REF!</v>
      </c>
      <c r="E200" s="161" t="e">
        <f>#REF!</f>
        <v>#REF!</v>
      </c>
      <c r="F200" s="161" t="e">
        <f>#REF!</f>
        <v>#REF!</v>
      </c>
      <c r="G200" s="161" t="e">
        <f>#REF!</f>
        <v>#REF!</v>
      </c>
      <c r="H200" s="161" t="e">
        <f>#REF!</f>
        <v>#REF!</v>
      </c>
    </row>
    <row r="201" spans="1:8" x14ac:dyDescent="0.3">
      <c r="A201" s="161" t="e">
        <f>#REF!</f>
        <v>#REF!</v>
      </c>
      <c r="B201" s="161" t="e">
        <f>#REF!</f>
        <v>#REF!</v>
      </c>
      <c r="C201" s="161" t="e">
        <f>#REF!</f>
        <v>#REF!</v>
      </c>
      <c r="D201" s="161" t="e">
        <f>#REF!</f>
        <v>#REF!</v>
      </c>
      <c r="E201" s="161" t="e">
        <f>#REF!</f>
        <v>#REF!</v>
      </c>
      <c r="F201" s="161" t="e">
        <f>#REF!</f>
        <v>#REF!</v>
      </c>
      <c r="G201" s="161" t="e">
        <f>#REF!</f>
        <v>#REF!</v>
      </c>
      <c r="H201" s="161" t="e">
        <f>#REF!</f>
        <v>#REF!</v>
      </c>
    </row>
    <row r="202" spans="1:8" x14ac:dyDescent="0.3">
      <c r="A202" s="161" t="e">
        <f>#REF!</f>
        <v>#REF!</v>
      </c>
      <c r="B202" s="161" t="e">
        <f>#REF!</f>
        <v>#REF!</v>
      </c>
      <c r="C202" s="161" t="e">
        <f>#REF!</f>
        <v>#REF!</v>
      </c>
      <c r="D202" s="161" t="e">
        <f>#REF!</f>
        <v>#REF!</v>
      </c>
      <c r="E202" s="161" t="e">
        <f>#REF!</f>
        <v>#REF!</v>
      </c>
      <c r="F202" s="161" t="e">
        <f>#REF!</f>
        <v>#REF!</v>
      </c>
      <c r="G202" s="161" t="e">
        <f>#REF!</f>
        <v>#REF!</v>
      </c>
      <c r="H202" s="161" t="e">
        <f>#REF!</f>
        <v>#REF!</v>
      </c>
    </row>
    <row r="203" spans="1:8" x14ac:dyDescent="0.3">
      <c r="A203" s="161" t="e">
        <f>#REF!</f>
        <v>#REF!</v>
      </c>
      <c r="B203" s="161" t="e">
        <f>#REF!</f>
        <v>#REF!</v>
      </c>
      <c r="C203" s="161" t="e">
        <f>#REF!</f>
        <v>#REF!</v>
      </c>
      <c r="D203" s="161" t="e">
        <f>#REF!</f>
        <v>#REF!</v>
      </c>
      <c r="E203" s="161" t="e">
        <f>#REF!</f>
        <v>#REF!</v>
      </c>
      <c r="F203" s="161" t="e">
        <f>#REF!</f>
        <v>#REF!</v>
      </c>
      <c r="G203" s="161" t="e">
        <f>#REF!</f>
        <v>#REF!</v>
      </c>
      <c r="H203" s="161" t="e">
        <f>#REF!</f>
        <v>#REF!</v>
      </c>
    </row>
    <row r="204" spans="1:8" x14ac:dyDescent="0.3">
      <c r="A204" s="161" t="e">
        <f>#REF!</f>
        <v>#REF!</v>
      </c>
      <c r="B204" s="161" t="e">
        <f>#REF!</f>
        <v>#REF!</v>
      </c>
      <c r="C204" s="161" t="e">
        <f>#REF!</f>
        <v>#REF!</v>
      </c>
      <c r="D204" s="161" t="e">
        <f>#REF!</f>
        <v>#REF!</v>
      </c>
      <c r="E204" s="161" t="e">
        <f>#REF!</f>
        <v>#REF!</v>
      </c>
      <c r="F204" s="161" t="e">
        <f>#REF!</f>
        <v>#REF!</v>
      </c>
      <c r="G204" s="161" t="e">
        <f>#REF!</f>
        <v>#REF!</v>
      </c>
      <c r="H204" s="161" t="e">
        <f>#REF!</f>
        <v>#REF!</v>
      </c>
    </row>
    <row r="205" spans="1:8" x14ac:dyDescent="0.3">
      <c r="A205" s="161" t="e">
        <f>#REF!</f>
        <v>#REF!</v>
      </c>
      <c r="B205" s="161" t="e">
        <f>#REF!</f>
        <v>#REF!</v>
      </c>
      <c r="C205" s="161" t="e">
        <f>#REF!</f>
        <v>#REF!</v>
      </c>
      <c r="D205" s="161" t="e">
        <f>#REF!</f>
        <v>#REF!</v>
      </c>
      <c r="E205" s="161" t="e">
        <f>#REF!</f>
        <v>#REF!</v>
      </c>
      <c r="F205" s="161" t="e">
        <f>#REF!</f>
        <v>#REF!</v>
      </c>
      <c r="G205" s="161" t="e">
        <f>#REF!</f>
        <v>#REF!</v>
      </c>
      <c r="H205" s="161" t="e">
        <f>#REF!</f>
        <v>#REF!</v>
      </c>
    </row>
    <row r="206" spans="1:8" x14ac:dyDescent="0.3">
      <c r="A206" s="161" t="e">
        <f>#REF!</f>
        <v>#REF!</v>
      </c>
      <c r="B206" s="161" t="e">
        <f>#REF!</f>
        <v>#REF!</v>
      </c>
      <c r="C206" s="161" t="e">
        <f>#REF!</f>
        <v>#REF!</v>
      </c>
      <c r="D206" s="161" t="e">
        <f>#REF!</f>
        <v>#REF!</v>
      </c>
      <c r="E206" s="161" t="e">
        <f>#REF!</f>
        <v>#REF!</v>
      </c>
      <c r="F206" s="161" t="e">
        <f>#REF!</f>
        <v>#REF!</v>
      </c>
      <c r="G206" s="161" t="e">
        <f>#REF!</f>
        <v>#REF!</v>
      </c>
      <c r="H206" s="161" t="e">
        <f>#REF!</f>
        <v>#REF!</v>
      </c>
    </row>
    <row r="207" spans="1:8" x14ac:dyDescent="0.3">
      <c r="A207" s="161" t="e">
        <f>#REF!</f>
        <v>#REF!</v>
      </c>
      <c r="B207" s="161" t="e">
        <f>#REF!</f>
        <v>#REF!</v>
      </c>
      <c r="C207" s="161" t="e">
        <f>#REF!</f>
        <v>#REF!</v>
      </c>
      <c r="D207" s="161" t="e">
        <f>#REF!</f>
        <v>#REF!</v>
      </c>
      <c r="E207" s="161" t="e">
        <f>#REF!</f>
        <v>#REF!</v>
      </c>
      <c r="F207" s="161" t="e">
        <f>#REF!</f>
        <v>#REF!</v>
      </c>
      <c r="G207" s="161" t="e">
        <f>#REF!</f>
        <v>#REF!</v>
      </c>
      <c r="H207" s="161" t="e">
        <f>#REF!</f>
        <v>#REF!</v>
      </c>
    </row>
    <row r="208" spans="1:8" x14ac:dyDescent="0.3">
      <c r="A208" s="161" t="e">
        <f>#REF!</f>
        <v>#REF!</v>
      </c>
      <c r="B208" s="161" t="e">
        <f>#REF!</f>
        <v>#REF!</v>
      </c>
      <c r="C208" s="161" t="e">
        <f>#REF!</f>
        <v>#REF!</v>
      </c>
      <c r="D208" s="161" t="e">
        <f>#REF!</f>
        <v>#REF!</v>
      </c>
      <c r="E208" s="161" t="e">
        <f>#REF!</f>
        <v>#REF!</v>
      </c>
      <c r="F208" s="161" t="e">
        <f>#REF!</f>
        <v>#REF!</v>
      </c>
      <c r="G208" s="161" t="e">
        <f>#REF!</f>
        <v>#REF!</v>
      </c>
      <c r="H208" s="161" t="e">
        <f>#REF!</f>
        <v>#REF!</v>
      </c>
    </row>
  </sheetData>
  <pageMargins left="0.5" right="0.5" top="0.75" bottom="0.75" header="0.3" footer="0.3"/>
  <pageSetup paperSize="9" scale="16" orientation="landscape" r:id="rId1"/>
</worksheet>
</file>

<file path=xl/worksheets/sheet2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3333CC"/>
    <pageSetUpPr fitToPage="1"/>
  </sheetPr>
  <dimension ref="A1:N63"/>
  <sheetViews>
    <sheetView showGridLines="0" workbookViewId="0"/>
  </sheetViews>
  <sheetFormatPr defaultColWidth="9.109375" defaultRowHeight="14.4" x14ac:dyDescent="0.3"/>
  <cols>
    <col min="1" max="1" width="10.5546875" style="161" bestFit="1" customWidth="1"/>
    <col min="2" max="2" width="32" style="161" customWidth="1"/>
    <col min="3" max="3" width="47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7.44140625" style="161" customWidth="1"/>
    <col min="8" max="8" width="13.886718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4.5546875" style="161" customWidth="1"/>
    <col min="14" max="14" width="11.6640625" style="161" customWidth="1"/>
    <col min="15" max="16384" width="9.109375" style="161"/>
  </cols>
  <sheetData>
    <row r="1" spans="1:14" x14ac:dyDescent="0.3">
      <c r="A1" s="693" t="s">
        <v>523</v>
      </c>
      <c r="B1" s="161" t="s">
        <v>524</v>
      </c>
      <c r="J1" s="693" t="s">
        <v>528</v>
      </c>
      <c r="K1" s="163">
        <v>81</v>
      </c>
      <c r="M1" s="693" t="s">
        <v>531</v>
      </c>
      <c r="N1" s="336">
        <f>E16+N25+I45+J59+I63</f>
        <v>288.3506359166667</v>
      </c>
    </row>
    <row r="2" spans="1:14" x14ac:dyDescent="0.3">
      <c r="A2" s="693" t="s">
        <v>532</v>
      </c>
      <c r="B2" s="161" t="s">
        <v>1434</v>
      </c>
      <c r="M2" s="693" t="s">
        <v>533</v>
      </c>
      <c r="N2" s="165">
        <v>1</v>
      </c>
    </row>
    <row r="3" spans="1:14" x14ac:dyDescent="0.3">
      <c r="A3" s="693" t="s">
        <v>534</v>
      </c>
      <c r="B3" s="161" t="s">
        <v>353</v>
      </c>
      <c r="J3" s="693" t="s">
        <v>536</v>
      </c>
    </row>
    <row r="4" spans="1:14" x14ac:dyDescent="0.3">
      <c r="A4" s="693" t="s">
        <v>537</v>
      </c>
      <c r="B4" s="166" t="s">
        <v>352</v>
      </c>
      <c r="J4" s="693" t="s">
        <v>538</v>
      </c>
      <c r="M4" s="693" t="s">
        <v>539</v>
      </c>
      <c r="N4" s="336">
        <f>N1*N2</f>
        <v>288.3506359166667</v>
      </c>
    </row>
    <row r="5" spans="1:14" x14ac:dyDescent="0.3">
      <c r="A5" s="693" t="s">
        <v>540</v>
      </c>
      <c r="B5" s="161" t="s">
        <v>36</v>
      </c>
      <c r="J5" s="693" t="s">
        <v>541</v>
      </c>
    </row>
    <row r="6" spans="1:14" x14ac:dyDescent="0.3">
      <c r="A6" s="693" t="s">
        <v>542</v>
      </c>
      <c r="B6" s="161" t="s">
        <v>2417</v>
      </c>
    </row>
    <row r="8" spans="1:14" x14ac:dyDescent="0.3">
      <c r="A8" s="694" t="s">
        <v>544</v>
      </c>
      <c r="B8" s="694" t="s">
        <v>545</v>
      </c>
      <c r="C8" s="694" t="s">
        <v>546</v>
      </c>
      <c r="D8" s="694" t="s">
        <v>28</v>
      </c>
      <c r="E8" s="694" t="s">
        <v>547</v>
      </c>
    </row>
    <row r="9" spans="1:14" x14ac:dyDescent="0.3">
      <c r="A9" s="168">
        <v>10</v>
      </c>
      <c r="B9" s="168" t="s">
        <v>353</v>
      </c>
      <c r="C9" s="323">
        <f>'MS 05001'!N1</f>
        <v>190.42083333333332</v>
      </c>
      <c r="D9" s="171">
        <v>1</v>
      </c>
      <c r="E9" s="323">
        <f t="shared" ref="E9:E15" si="0">C9*D9</f>
        <v>190.42083333333332</v>
      </c>
    </row>
    <row r="10" spans="1:14" x14ac:dyDescent="0.3">
      <c r="A10" s="168">
        <v>20</v>
      </c>
      <c r="B10" s="168" t="s">
        <v>2416</v>
      </c>
      <c r="C10" s="323">
        <f>'MS 05002'!N1</f>
        <v>4.4508514166666666</v>
      </c>
      <c r="D10" s="171">
        <v>2</v>
      </c>
      <c r="E10" s="323">
        <f t="shared" si="0"/>
        <v>8.9017028333333332</v>
      </c>
    </row>
    <row r="11" spans="1:14" x14ac:dyDescent="0.3">
      <c r="A11" s="168">
        <v>30</v>
      </c>
      <c r="B11" s="168" t="s">
        <v>2415</v>
      </c>
      <c r="C11" s="323">
        <f>'MS 05003'!N1</f>
        <v>1.8548520000000002</v>
      </c>
      <c r="D11" s="171">
        <v>2</v>
      </c>
      <c r="E11" s="323">
        <f t="shared" si="0"/>
        <v>3.7097040000000003</v>
      </c>
    </row>
    <row r="12" spans="1:14" x14ac:dyDescent="0.3">
      <c r="A12" s="168">
        <v>40</v>
      </c>
      <c r="B12" s="168" t="s">
        <v>2414</v>
      </c>
      <c r="C12" s="323">
        <f>'MS 05004'!N1</f>
        <v>21.730792083333334</v>
      </c>
      <c r="D12" s="171">
        <v>1</v>
      </c>
      <c r="E12" s="323">
        <f t="shared" si="0"/>
        <v>21.730792083333334</v>
      </c>
    </row>
    <row r="13" spans="1:14" x14ac:dyDescent="0.3">
      <c r="A13" s="168">
        <v>50</v>
      </c>
      <c r="B13" s="168" t="s">
        <v>2413</v>
      </c>
      <c r="C13" s="323">
        <f>'MS 05005'!N1</f>
        <v>3.0985835000000002</v>
      </c>
      <c r="D13" s="171">
        <v>2</v>
      </c>
      <c r="E13" s="323">
        <f t="shared" si="0"/>
        <v>6.1971670000000003</v>
      </c>
    </row>
    <row r="14" spans="1:14" x14ac:dyDescent="0.3">
      <c r="A14" s="168">
        <v>60</v>
      </c>
      <c r="B14" s="218" t="s">
        <v>2412</v>
      </c>
      <c r="C14" s="323">
        <f>'MS 05006'!N1</f>
        <v>2.4846349999999999</v>
      </c>
      <c r="D14" s="171">
        <v>2</v>
      </c>
      <c r="E14" s="323">
        <f t="shared" si="0"/>
        <v>4.9692699999999999</v>
      </c>
    </row>
    <row r="15" spans="1:14" x14ac:dyDescent="0.3">
      <c r="A15" s="168">
        <v>70</v>
      </c>
      <c r="B15" s="218" t="s">
        <v>2411</v>
      </c>
      <c r="C15" s="323">
        <f>'MS 05007'!N1</f>
        <v>2.3765000000000001</v>
      </c>
      <c r="D15" s="171">
        <v>2</v>
      </c>
      <c r="E15" s="323">
        <f t="shared" si="0"/>
        <v>4.7530000000000001</v>
      </c>
    </row>
    <row r="16" spans="1:14" x14ac:dyDescent="0.3">
      <c r="D16" s="695" t="s">
        <v>547</v>
      </c>
      <c r="E16" s="708">
        <f>SUM(E9:E15)</f>
        <v>240.68246925</v>
      </c>
    </row>
    <row r="18" spans="1:14" x14ac:dyDescent="0.3">
      <c r="A18" s="721" t="s">
        <v>544</v>
      </c>
      <c r="B18" s="721" t="s">
        <v>581</v>
      </c>
      <c r="C18" s="721" t="s">
        <v>549</v>
      </c>
      <c r="D18" s="721" t="s">
        <v>550</v>
      </c>
      <c r="E18" s="721" t="s">
        <v>567</v>
      </c>
      <c r="F18" s="721" t="s">
        <v>568</v>
      </c>
      <c r="G18" s="721" t="s">
        <v>569</v>
      </c>
      <c r="H18" s="721" t="s">
        <v>570</v>
      </c>
      <c r="I18" s="721" t="s">
        <v>582</v>
      </c>
      <c r="J18" s="721" t="s">
        <v>583</v>
      </c>
      <c r="K18" s="721" t="s">
        <v>584</v>
      </c>
      <c r="L18" s="721" t="s">
        <v>585</v>
      </c>
      <c r="M18" s="721" t="s">
        <v>28</v>
      </c>
      <c r="N18" s="721" t="s">
        <v>547</v>
      </c>
    </row>
    <row r="19" spans="1:14" x14ac:dyDescent="0.3">
      <c r="A19" s="168">
        <v>10</v>
      </c>
      <c r="B19" s="168" t="s">
        <v>625</v>
      </c>
      <c r="C19" s="168" t="s">
        <v>2082</v>
      </c>
      <c r="D19" s="671">
        <v>10</v>
      </c>
      <c r="E19" s="168">
        <v>0.04</v>
      </c>
      <c r="F19" s="168" t="s">
        <v>627</v>
      </c>
      <c r="G19" s="168"/>
      <c r="H19" s="219"/>
      <c r="I19" s="269"/>
      <c r="J19" s="227"/>
      <c r="K19" s="597"/>
      <c r="L19" s="219"/>
      <c r="M19" s="168">
        <v>0.04</v>
      </c>
      <c r="N19" s="671">
        <f t="shared" ref="N19:N24" si="1">D19*E19</f>
        <v>0.4</v>
      </c>
    </row>
    <row r="20" spans="1:14" x14ac:dyDescent="0.3">
      <c r="A20" s="168">
        <v>20</v>
      </c>
      <c r="B20" s="225" t="s">
        <v>2410</v>
      </c>
      <c r="C20" s="168" t="s">
        <v>2409</v>
      </c>
      <c r="D20" s="671">
        <v>125</v>
      </c>
      <c r="E20" s="168">
        <v>0.02</v>
      </c>
      <c r="F20" s="168" t="s">
        <v>856</v>
      </c>
      <c r="G20" s="168"/>
      <c r="H20" s="219"/>
      <c r="I20" s="269"/>
      <c r="J20" s="227"/>
      <c r="K20" s="597"/>
      <c r="L20" s="219"/>
      <c r="M20" s="168">
        <v>1</v>
      </c>
      <c r="N20" s="671">
        <f t="shared" si="1"/>
        <v>2.5</v>
      </c>
    </row>
    <row r="21" spans="1:14" s="248" customFormat="1" x14ac:dyDescent="0.3">
      <c r="A21" s="168">
        <v>30</v>
      </c>
      <c r="B21" s="184" t="s">
        <v>1523</v>
      </c>
      <c r="C21" s="184" t="s">
        <v>2408</v>
      </c>
      <c r="D21" s="671">
        <v>0</v>
      </c>
      <c r="E21" s="184"/>
      <c r="F21" s="184"/>
      <c r="G21" s="184"/>
      <c r="H21" s="268"/>
      <c r="I21" s="269"/>
      <c r="J21" s="270"/>
      <c r="K21" s="268"/>
      <c r="L21" s="268"/>
      <c r="M21" s="271"/>
      <c r="N21" s="671">
        <f t="shared" si="1"/>
        <v>0</v>
      </c>
    </row>
    <row r="22" spans="1:14" s="248" customFormat="1" x14ac:dyDescent="0.3">
      <c r="A22" s="168">
        <v>40</v>
      </c>
      <c r="B22" s="225" t="s">
        <v>2353</v>
      </c>
      <c r="C22" s="184" t="s">
        <v>2407</v>
      </c>
      <c r="D22" s="671">
        <v>5.0000000000000001E-3</v>
      </c>
      <c r="E22" s="184">
        <f>35*20*3</f>
        <v>2100</v>
      </c>
      <c r="F22" s="225" t="s">
        <v>610</v>
      </c>
      <c r="G22" s="184"/>
      <c r="H22" s="268"/>
      <c r="I22" s="269"/>
      <c r="J22" s="270"/>
      <c r="K22" s="268"/>
      <c r="L22" s="268"/>
      <c r="M22" s="271">
        <v>1</v>
      </c>
      <c r="N22" s="671">
        <f t="shared" si="1"/>
        <v>10.5</v>
      </c>
    </row>
    <row r="23" spans="1:14" s="248" customFormat="1" x14ac:dyDescent="0.3">
      <c r="A23" s="168">
        <v>50</v>
      </c>
      <c r="B23" s="225" t="s">
        <v>2355</v>
      </c>
      <c r="C23" s="184" t="s">
        <v>2406</v>
      </c>
      <c r="D23" s="671">
        <v>2.5</v>
      </c>
      <c r="E23" s="184">
        <v>0.13500000000000001</v>
      </c>
      <c r="F23" s="225" t="s">
        <v>627</v>
      </c>
      <c r="G23" s="184"/>
      <c r="H23" s="268"/>
      <c r="I23" s="269"/>
      <c r="J23" s="270"/>
      <c r="K23" s="268"/>
      <c r="L23" s="268"/>
      <c r="M23" s="271">
        <v>1</v>
      </c>
      <c r="N23" s="671">
        <f t="shared" si="1"/>
        <v>0.33750000000000002</v>
      </c>
    </row>
    <row r="24" spans="1:14" s="248" customFormat="1" x14ac:dyDescent="0.3">
      <c r="A24" s="168">
        <v>60</v>
      </c>
      <c r="B24" s="225" t="s">
        <v>1024</v>
      </c>
      <c r="C24" s="184" t="s">
        <v>2405</v>
      </c>
      <c r="D24" s="671">
        <v>0</v>
      </c>
      <c r="E24" s="184"/>
      <c r="F24" s="225"/>
      <c r="G24" s="184"/>
      <c r="H24" s="268"/>
      <c r="I24" s="269"/>
      <c r="J24" s="270"/>
      <c r="K24" s="268"/>
      <c r="L24" s="268"/>
      <c r="M24" s="271"/>
      <c r="N24" s="671">
        <f t="shared" si="1"/>
        <v>0</v>
      </c>
    </row>
    <row r="25" spans="1:14" s="178" customFormat="1" x14ac:dyDescent="0.3">
      <c r="M25" s="697" t="s">
        <v>547</v>
      </c>
      <c r="N25" s="696">
        <f>SUM(N19:N24)</f>
        <v>13.737500000000001</v>
      </c>
    </row>
    <row r="27" spans="1:14" s="178" customFormat="1" x14ac:dyDescent="0.3">
      <c r="A27" s="694" t="s">
        <v>544</v>
      </c>
      <c r="B27" s="694" t="s">
        <v>548</v>
      </c>
      <c r="C27" s="694" t="s">
        <v>549</v>
      </c>
      <c r="D27" s="694" t="s">
        <v>550</v>
      </c>
      <c r="E27" s="694" t="s">
        <v>551</v>
      </c>
      <c r="F27" s="694" t="s">
        <v>28</v>
      </c>
      <c r="G27" s="694" t="s">
        <v>552</v>
      </c>
      <c r="H27" s="694" t="s">
        <v>553</v>
      </c>
      <c r="I27" s="694" t="s">
        <v>547</v>
      </c>
    </row>
    <row r="28" spans="1:14" x14ac:dyDescent="0.3">
      <c r="A28" s="168">
        <v>10</v>
      </c>
      <c r="B28" s="180" t="s">
        <v>650</v>
      </c>
      <c r="C28" s="168" t="s">
        <v>2404</v>
      </c>
      <c r="D28" s="323">
        <v>0.15</v>
      </c>
      <c r="E28" s="168" t="s">
        <v>593</v>
      </c>
      <c r="F28" s="168">
        <f>2*4*4</f>
        <v>32</v>
      </c>
      <c r="G28" s="168"/>
      <c r="H28" s="168">
        <v>1</v>
      </c>
      <c r="I28" s="323">
        <f t="shared" ref="I28:I44" si="2">D28*F28*H28</f>
        <v>4.8</v>
      </c>
    </row>
    <row r="29" spans="1:14" x14ac:dyDescent="0.3">
      <c r="A29" s="168">
        <v>20</v>
      </c>
      <c r="B29" s="641" t="s">
        <v>762</v>
      </c>
      <c r="C29" s="168" t="s">
        <v>1909</v>
      </c>
      <c r="D29" s="643">
        <v>5.25</v>
      </c>
      <c r="E29" s="641" t="s">
        <v>627</v>
      </c>
      <c r="F29" s="168">
        <f>E19</f>
        <v>0.04</v>
      </c>
      <c r="G29" s="168"/>
      <c r="H29" s="168">
        <v>1</v>
      </c>
      <c r="I29" s="323">
        <f t="shared" si="2"/>
        <v>0.21</v>
      </c>
    </row>
    <row r="30" spans="1:14" x14ac:dyDescent="0.3">
      <c r="A30" s="168">
        <v>30</v>
      </c>
      <c r="B30" s="684" t="s">
        <v>1941</v>
      </c>
      <c r="C30" s="168" t="s">
        <v>2403</v>
      </c>
      <c r="D30" s="643">
        <v>0.7</v>
      </c>
      <c r="E30" s="641" t="s">
        <v>1457</v>
      </c>
      <c r="F30" s="168">
        <v>4</v>
      </c>
      <c r="G30" s="684" t="s">
        <v>1458</v>
      </c>
      <c r="H30" s="720">
        <v>0.33</v>
      </c>
      <c r="I30" s="323">
        <f t="shared" si="2"/>
        <v>0.92399999999999993</v>
      </c>
    </row>
    <row r="31" spans="1:14" x14ac:dyDescent="0.3">
      <c r="A31" s="168">
        <v>40</v>
      </c>
      <c r="B31" s="641" t="s">
        <v>2402</v>
      </c>
      <c r="C31" s="168" t="s">
        <v>2401</v>
      </c>
      <c r="D31" s="403">
        <v>0.125</v>
      </c>
      <c r="E31" s="641" t="s">
        <v>556</v>
      </c>
      <c r="F31" s="168">
        <v>4</v>
      </c>
      <c r="G31" s="168"/>
      <c r="H31" s="168">
        <v>1</v>
      </c>
      <c r="I31" s="323">
        <f t="shared" si="2"/>
        <v>0.5</v>
      </c>
    </row>
    <row r="32" spans="1:14" x14ac:dyDescent="0.3">
      <c r="A32" s="168">
        <v>50</v>
      </c>
      <c r="B32" s="641" t="s">
        <v>1523</v>
      </c>
      <c r="C32" s="184" t="s">
        <v>2400</v>
      </c>
      <c r="D32" s="643">
        <v>0.8</v>
      </c>
      <c r="E32" s="641" t="s">
        <v>644</v>
      </c>
      <c r="F32" s="168">
        <v>3</v>
      </c>
      <c r="G32" s="168"/>
      <c r="H32" s="168">
        <v>1</v>
      </c>
      <c r="I32" s="323">
        <f t="shared" si="2"/>
        <v>2.4000000000000004</v>
      </c>
    </row>
    <row r="33" spans="1:10" x14ac:dyDescent="0.3">
      <c r="A33" s="168">
        <v>60</v>
      </c>
      <c r="B33" s="641" t="s">
        <v>659</v>
      </c>
      <c r="C33" s="168" t="s">
        <v>2399</v>
      </c>
      <c r="D33" s="643">
        <v>0.5</v>
      </c>
      <c r="E33" s="641" t="s">
        <v>556</v>
      </c>
      <c r="F33" s="168">
        <v>8</v>
      </c>
      <c r="G33" s="168"/>
      <c r="H33" s="168">
        <v>1</v>
      </c>
      <c r="I33" s="323">
        <f t="shared" si="2"/>
        <v>4</v>
      </c>
    </row>
    <row r="34" spans="1:10" x14ac:dyDescent="0.3">
      <c r="A34" s="168">
        <v>70</v>
      </c>
      <c r="B34" s="641" t="s">
        <v>660</v>
      </c>
      <c r="C34" s="168" t="s">
        <v>661</v>
      </c>
      <c r="D34" s="643">
        <v>0.25</v>
      </c>
      <c r="E34" s="641" t="s">
        <v>556</v>
      </c>
      <c r="F34" s="168">
        <v>8</v>
      </c>
      <c r="G34" s="168"/>
      <c r="H34" s="168">
        <v>1</v>
      </c>
      <c r="I34" s="323">
        <f t="shared" si="2"/>
        <v>2</v>
      </c>
    </row>
    <row r="35" spans="1:10" x14ac:dyDescent="0.3">
      <c r="A35" s="168">
        <v>80</v>
      </c>
      <c r="B35" s="180" t="s">
        <v>559</v>
      </c>
      <c r="C35" s="168" t="s">
        <v>2398</v>
      </c>
      <c r="D35" s="243">
        <v>0.75</v>
      </c>
      <c r="E35" s="180" t="s">
        <v>556</v>
      </c>
      <c r="F35" s="168">
        <v>4</v>
      </c>
      <c r="G35" s="168"/>
      <c r="H35" s="168">
        <v>1</v>
      </c>
      <c r="I35" s="323">
        <f t="shared" si="2"/>
        <v>3</v>
      </c>
    </row>
    <row r="36" spans="1:10" x14ac:dyDescent="0.3">
      <c r="A36" s="168">
        <v>90</v>
      </c>
      <c r="B36" s="180" t="s">
        <v>616</v>
      </c>
      <c r="C36" s="168" t="s">
        <v>664</v>
      </c>
      <c r="D36" s="243">
        <v>0.25</v>
      </c>
      <c r="E36" s="180" t="s">
        <v>556</v>
      </c>
      <c r="F36" s="168">
        <v>4</v>
      </c>
      <c r="G36" s="168"/>
      <c r="H36" s="168">
        <v>1</v>
      </c>
      <c r="I36" s="323">
        <f t="shared" si="2"/>
        <v>1</v>
      </c>
    </row>
    <row r="37" spans="1:10" x14ac:dyDescent="0.3">
      <c r="A37" s="168">
        <v>100</v>
      </c>
      <c r="B37" s="180" t="s">
        <v>659</v>
      </c>
      <c r="C37" s="168" t="s">
        <v>2397</v>
      </c>
      <c r="D37" s="243">
        <v>0.5</v>
      </c>
      <c r="E37" s="180" t="s">
        <v>556</v>
      </c>
      <c r="F37" s="168">
        <v>4</v>
      </c>
      <c r="G37" s="168"/>
      <c r="H37" s="168">
        <v>1</v>
      </c>
      <c r="I37" s="323">
        <f t="shared" si="2"/>
        <v>2</v>
      </c>
    </row>
    <row r="38" spans="1:10" x14ac:dyDescent="0.3">
      <c r="A38" s="168">
        <v>110</v>
      </c>
      <c r="B38" s="180" t="s">
        <v>660</v>
      </c>
      <c r="C38" s="168" t="s">
        <v>661</v>
      </c>
      <c r="D38" s="243">
        <v>0.25</v>
      </c>
      <c r="E38" s="180" t="s">
        <v>556</v>
      </c>
      <c r="F38" s="168">
        <v>4</v>
      </c>
      <c r="G38" s="168"/>
      <c r="H38" s="168">
        <v>1</v>
      </c>
      <c r="I38" s="323">
        <f t="shared" si="2"/>
        <v>1</v>
      </c>
    </row>
    <row r="39" spans="1:10" x14ac:dyDescent="0.3">
      <c r="A39" s="168">
        <v>120</v>
      </c>
      <c r="B39" s="180" t="s">
        <v>816</v>
      </c>
      <c r="C39" s="171" t="s">
        <v>2396</v>
      </c>
      <c r="D39" s="403">
        <v>0.375</v>
      </c>
      <c r="E39" s="168" t="s">
        <v>556</v>
      </c>
      <c r="F39" s="168">
        <v>1</v>
      </c>
      <c r="G39" s="168"/>
      <c r="H39" s="168">
        <v>1</v>
      </c>
      <c r="I39" s="323">
        <f t="shared" si="2"/>
        <v>0.375</v>
      </c>
    </row>
    <row r="40" spans="1:10" x14ac:dyDescent="0.3">
      <c r="A40" s="168">
        <v>130</v>
      </c>
      <c r="B40" s="180" t="s">
        <v>559</v>
      </c>
      <c r="C40" s="168" t="s">
        <v>2395</v>
      </c>
      <c r="D40" s="243">
        <v>0.75</v>
      </c>
      <c r="E40" s="180" t="s">
        <v>556</v>
      </c>
      <c r="F40" s="168">
        <v>6</v>
      </c>
      <c r="G40" s="168"/>
      <c r="H40" s="168">
        <v>1</v>
      </c>
      <c r="I40" s="323">
        <f t="shared" si="2"/>
        <v>4.5</v>
      </c>
    </row>
    <row r="41" spans="1:10" x14ac:dyDescent="0.3">
      <c r="A41" s="168">
        <v>140</v>
      </c>
      <c r="B41" s="180" t="s">
        <v>2265</v>
      </c>
      <c r="C41" s="168" t="s">
        <v>2394</v>
      </c>
      <c r="D41" s="243">
        <v>0.1</v>
      </c>
      <c r="E41" s="180" t="s">
        <v>556</v>
      </c>
      <c r="F41" s="168">
        <v>10</v>
      </c>
      <c r="G41" s="168"/>
      <c r="H41" s="168">
        <v>1</v>
      </c>
      <c r="I41" s="323">
        <f t="shared" si="2"/>
        <v>1</v>
      </c>
    </row>
    <row r="42" spans="1:10" x14ac:dyDescent="0.3">
      <c r="A42" s="168">
        <v>150</v>
      </c>
      <c r="B42" s="180" t="s">
        <v>760</v>
      </c>
      <c r="C42" s="168" t="s">
        <v>2394</v>
      </c>
      <c r="D42" s="403">
        <v>0.1875</v>
      </c>
      <c r="E42" s="180" t="s">
        <v>556</v>
      </c>
      <c r="F42" s="168">
        <v>1</v>
      </c>
      <c r="G42" s="168"/>
      <c r="H42" s="168">
        <v>1</v>
      </c>
      <c r="I42" s="323">
        <f t="shared" si="2"/>
        <v>0.1875</v>
      </c>
    </row>
    <row r="43" spans="1:10" x14ac:dyDescent="0.3">
      <c r="A43" s="168">
        <v>160</v>
      </c>
      <c r="B43" s="180" t="s">
        <v>2265</v>
      </c>
      <c r="C43" s="168" t="s">
        <v>2393</v>
      </c>
      <c r="D43" s="243">
        <v>0.1</v>
      </c>
      <c r="E43" s="180" t="s">
        <v>556</v>
      </c>
      <c r="F43" s="168">
        <v>10</v>
      </c>
      <c r="G43" s="168"/>
      <c r="H43" s="168">
        <v>1</v>
      </c>
      <c r="I43" s="323">
        <f t="shared" si="2"/>
        <v>1</v>
      </c>
    </row>
    <row r="44" spans="1:10" x14ac:dyDescent="0.3">
      <c r="A44" s="168">
        <v>170</v>
      </c>
      <c r="B44" s="180" t="s">
        <v>760</v>
      </c>
      <c r="C44" s="168" t="s">
        <v>2393</v>
      </c>
      <c r="D44" s="243">
        <v>0.1875</v>
      </c>
      <c r="E44" s="180" t="s">
        <v>556</v>
      </c>
      <c r="F44" s="168">
        <v>1</v>
      </c>
      <c r="G44" s="168"/>
      <c r="H44" s="168">
        <v>1</v>
      </c>
      <c r="I44" s="323">
        <f t="shared" si="2"/>
        <v>0.1875</v>
      </c>
    </row>
    <row r="45" spans="1:10" s="178" customFormat="1" x14ac:dyDescent="0.3">
      <c r="H45" s="697" t="s">
        <v>547</v>
      </c>
      <c r="I45" s="696">
        <f>SUM(I28:I44)</f>
        <v>29.084</v>
      </c>
    </row>
    <row r="47" spans="1:10" s="178" customFormat="1" x14ac:dyDescent="0.3">
      <c r="A47" s="694" t="s">
        <v>544</v>
      </c>
      <c r="B47" s="694" t="s">
        <v>566</v>
      </c>
      <c r="C47" s="694" t="s">
        <v>549</v>
      </c>
      <c r="D47" s="694" t="s">
        <v>550</v>
      </c>
      <c r="E47" s="694" t="s">
        <v>567</v>
      </c>
      <c r="F47" s="694" t="s">
        <v>568</v>
      </c>
      <c r="G47" s="694" t="s">
        <v>569</v>
      </c>
      <c r="H47" s="694" t="s">
        <v>570</v>
      </c>
      <c r="I47" s="694" t="s">
        <v>28</v>
      </c>
      <c r="J47" s="694" t="s">
        <v>547</v>
      </c>
    </row>
    <row r="48" spans="1:10" x14ac:dyDescent="0.3">
      <c r="A48" s="168">
        <v>10</v>
      </c>
      <c r="B48" s="168" t="s">
        <v>684</v>
      </c>
      <c r="C48" s="168" t="s">
        <v>2392</v>
      </c>
      <c r="D48" s="243">
        <v>0.04</v>
      </c>
      <c r="E48" s="168">
        <v>6</v>
      </c>
      <c r="F48" s="245" t="s">
        <v>573</v>
      </c>
      <c r="G48" s="168">
        <v>16</v>
      </c>
      <c r="H48" s="171" t="s">
        <v>573</v>
      </c>
      <c r="I48" s="327">
        <v>8</v>
      </c>
      <c r="J48" s="323">
        <f t="shared" ref="J48:J58" si="3">D48*I48</f>
        <v>0.32</v>
      </c>
    </row>
    <row r="49" spans="1:10" x14ac:dyDescent="0.3">
      <c r="A49" s="168">
        <v>20</v>
      </c>
      <c r="B49" s="719" t="s">
        <v>618</v>
      </c>
      <c r="C49" s="168" t="s">
        <v>2392</v>
      </c>
      <c r="D49" s="323">
        <v>0.03</v>
      </c>
      <c r="E49" s="168">
        <v>6</v>
      </c>
      <c r="F49" s="245" t="s">
        <v>573</v>
      </c>
      <c r="G49" s="168"/>
      <c r="H49" s="171"/>
      <c r="I49" s="327">
        <v>8</v>
      </c>
      <c r="J49" s="323">
        <f t="shared" si="3"/>
        <v>0.24</v>
      </c>
    </row>
    <row r="50" spans="1:10" x14ac:dyDescent="0.3">
      <c r="A50" s="168">
        <v>30</v>
      </c>
      <c r="B50" s="719" t="s">
        <v>574</v>
      </c>
      <c r="C50" s="168" t="s">
        <v>2392</v>
      </c>
      <c r="D50" s="243">
        <v>0.01</v>
      </c>
      <c r="E50" s="168">
        <v>6</v>
      </c>
      <c r="F50" s="245" t="s">
        <v>573</v>
      </c>
      <c r="G50" s="168"/>
      <c r="H50" s="171"/>
      <c r="I50" s="327">
        <v>16</v>
      </c>
      <c r="J50" s="323">
        <f t="shared" si="3"/>
        <v>0.16</v>
      </c>
    </row>
    <row r="51" spans="1:10" x14ac:dyDescent="0.3">
      <c r="A51" s="168">
        <v>40</v>
      </c>
      <c r="B51" s="168" t="s">
        <v>684</v>
      </c>
      <c r="C51" s="168" t="s">
        <v>2391</v>
      </c>
      <c r="D51" s="243">
        <v>0.08</v>
      </c>
      <c r="E51" s="168">
        <v>8</v>
      </c>
      <c r="F51" s="245" t="s">
        <v>573</v>
      </c>
      <c r="G51" s="168">
        <v>20</v>
      </c>
      <c r="H51" s="171" t="s">
        <v>573</v>
      </c>
      <c r="I51" s="327">
        <v>4</v>
      </c>
      <c r="J51" s="323">
        <f t="shared" si="3"/>
        <v>0.32</v>
      </c>
    </row>
    <row r="52" spans="1:10" x14ac:dyDescent="0.3">
      <c r="A52" s="168">
        <v>50</v>
      </c>
      <c r="B52" s="719" t="s">
        <v>618</v>
      </c>
      <c r="C52" s="168" t="s">
        <v>2391</v>
      </c>
      <c r="D52" s="323">
        <v>0.04</v>
      </c>
      <c r="E52" s="168">
        <v>8</v>
      </c>
      <c r="F52" s="245" t="s">
        <v>573</v>
      </c>
      <c r="G52" s="168"/>
      <c r="H52" s="171"/>
      <c r="I52" s="327">
        <v>4</v>
      </c>
      <c r="J52" s="323">
        <f t="shared" si="3"/>
        <v>0.16</v>
      </c>
    </row>
    <row r="53" spans="1:10" x14ac:dyDescent="0.3">
      <c r="A53" s="168">
        <v>60</v>
      </c>
      <c r="B53" s="719" t="s">
        <v>574</v>
      </c>
      <c r="C53" s="168" t="s">
        <v>2391</v>
      </c>
      <c r="D53" s="243">
        <v>0.01</v>
      </c>
      <c r="E53" s="168">
        <v>8</v>
      </c>
      <c r="F53" s="245" t="s">
        <v>573</v>
      </c>
      <c r="G53" s="168"/>
      <c r="H53" s="171"/>
      <c r="I53" s="327">
        <v>8</v>
      </c>
      <c r="J53" s="323">
        <f t="shared" si="3"/>
        <v>0.08</v>
      </c>
    </row>
    <row r="54" spans="1:10" x14ac:dyDescent="0.3">
      <c r="A54" s="168">
        <v>70</v>
      </c>
      <c r="B54" s="168" t="s">
        <v>684</v>
      </c>
      <c r="C54" s="168" t="s">
        <v>2390</v>
      </c>
      <c r="D54" s="243">
        <v>0.04</v>
      </c>
      <c r="E54" s="168">
        <v>6</v>
      </c>
      <c r="F54" s="245" t="s">
        <v>573</v>
      </c>
      <c r="G54" s="168">
        <v>16</v>
      </c>
      <c r="H54" s="171" t="s">
        <v>573</v>
      </c>
      <c r="I54" s="327">
        <v>4</v>
      </c>
      <c r="J54" s="323">
        <f t="shared" si="3"/>
        <v>0.16</v>
      </c>
    </row>
    <row r="55" spans="1:10" x14ac:dyDescent="0.3">
      <c r="A55" s="168">
        <v>80</v>
      </c>
      <c r="B55" s="719" t="s">
        <v>618</v>
      </c>
      <c r="C55" s="168" t="s">
        <v>2390</v>
      </c>
      <c r="D55" s="323">
        <v>0.03</v>
      </c>
      <c r="E55" s="168">
        <v>6</v>
      </c>
      <c r="F55" s="245" t="s">
        <v>573</v>
      </c>
      <c r="G55" s="168"/>
      <c r="H55" s="171"/>
      <c r="I55" s="327">
        <v>4</v>
      </c>
      <c r="J55" s="323">
        <f t="shared" si="3"/>
        <v>0.12</v>
      </c>
    </row>
    <row r="56" spans="1:10" x14ac:dyDescent="0.3">
      <c r="A56" s="168">
        <v>90</v>
      </c>
      <c r="B56" s="719" t="s">
        <v>574</v>
      </c>
      <c r="C56" s="168" t="s">
        <v>2390</v>
      </c>
      <c r="D56" s="243">
        <v>0.01</v>
      </c>
      <c r="E56" s="168">
        <v>6</v>
      </c>
      <c r="F56" s="245" t="s">
        <v>573</v>
      </c>
      <c r="G56" s="168"/>
      <c r="H56" s="171"/>
      <c r="I56" s="327">
        <v>8</v>
      </c>
      <c r="J56" s="323">
        <f t="shared" si="3"/>
        <v>0.08</v>
      </c>
    </row>
    <row r="57" spans="1:10" x14ac:dyDescent="0.3">
      <c r="A57" s="168">
        <v>100</v>
      </c>
      <c r="B57" s="168" t="s">
        <v>684</v>
      </c>
      <c r="C57" s="168" t="s">
        <v>2389</v>
      </c>
      <c r="D57" s="243">
        <v>0.08</v>
      </c>
      <c r="E57" s="168">
        <v>8</v>
      </c>
      <c r="F57" s="245" t="s">
        <v>573</v>
      </c>
      <c r="G57" s="168">
        <v>20</v>
      </c>
      <c r="H57" s="171" t="s">
        <v>573</v>
      </c>
      <c r="I57" s="327">
        <v>6</v>
      </c>
      <c r="J57" s="323">
        <f t="shared" si="3"/>
        <v>0.48</v>
      </c>
    </row>
    <row r="58" spans="1:10" x14ac:dyDescent="0.3">
      <c r="A58" s="168">
        <v>110</v>
      </c>
      <c r="B58" s="719" t="s">
        <v>574</v>
      </c>
      <c r="C58" s="168" t="s">
        <v>2388</v>
      </c>
      <c r="D58" s="243">
        <v>0.01</v>
      </c>
      <c r="E58" s="168">
        <v>8</v>
      </c>
      <c r="F58" s="245" t="s">
        <v>573</v>
      </c>
      <c r="G58" s="168"/>
      <c r="H58" s="171"/>
      <c r="I58" s="327">
        <v>6</v>
      </c>
      <c r="J58" s="323">
        <f t="shared" si="3"/>
        <v>0.06</v>
      </c>
    </row>
    <row r="59" spans="1:10" s="178" customFormat="1" x14ac:dyDescent="0.3">
      <c r="I59" s="695" t="s">
        <v>547</v>
      </c>
      <c r="J59" s="708">
        <f>SUM(J48:J58)</f>
        <v>2.1800000000000002</v>
      </c>
    </row>
    <row r="60" spans="1:10" x14ac:dyDescent="0.3">
      <c r="H60" s="326"/>
      <c r="I60" s="325"/>
    </row>
    <row r="61" spans="1:10" s="178" customFormat="1" x14ac:dyDescent="0.3">
      <c r="A61" s="694" t="s">
        <v>544</v>
      </c>
      <c r="B61" s="694" t="s">
        <v>6</v>
      </c>
      <c r="C61" s="694" t="s">
        <v>549</v>
      </c>
      <c r="D61" s="694" t="s">
        <v>550</v>
      </c>
      <c r="E61" s="694" t="s">
        <v>551</v>
      </c>
      <c r="F61" s="694" t="s">
        <v>28</v>
      </c>
      <c r="G61" s="694" t="s">
        <v>691</v>
      </c>
      <c r="H61" s="694" t="s">
        <v>736</v>
      </c>
      <c r="I61" s="694" t="s">
        <v>547</v>
      </c>
    </row>
    <row r="62" spans="1:10" x14ac:dyDescent="0.3">
      <c r="A62" s="168">
        <v>10</v>
      </c>
      <c r="B62" s="272" t="s">
        <v>693</v>
      </c>
      <c r="C62" s="168" t="s">
        <v>2387</v>
      </c>
      <c r="D62" s="323">
        <v>500</v>
      </c>
      <c r="E62" s="168" t="s">
        <v>695</v>
      </c>
      <c r="F62" s="168">
        <v>16</v>
      </c>
      <c r="G62" s="168">
        <v>3000</v>
      </c>
      <c r="H62" s="168">
        <v>1</v>
      </c>
      <c r="I62" s="322">
        <f>D62*F62/G62*H62</f>
        <v>2.6666666666666665</v>
      </c>
    </row>
    <row r="63" spans="1:10" s="178" customFormat="1" x14ac:dyDescent="0.3">
      <c r="H63" s="695" t="s">
        <v>547</v>
      </c>
      <c r="I63" s="708">
        <f>SUM(I62:I62)</f>
        <v>2.6666666666666665</v>
      </c>
    </row>
  </sheetData>
  <pageMargins left="0.5" right="0.5" top="0.75" bottom="0.75" header="0.3" footer="0.3"/>
  <pageSetup scale="55" fitToWidth="0" orientation="landscape" r:id="rId1"/>
</worksheet>
</file>

<file path=xl/worksheets/sheet2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3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1.5546875" style="161" customWidth="1"/>
    <col min="3" max="3" width="36.664062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1.441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N14+I28+J33+I37</f>
        <v>190.42083333333332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353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353</v>
      </c>
      <c r="D4" s="698" t="s">
        <v>541</v>
      </c>
      <c r="J4" s="698" t="s">
        <v>538</v>
      </c>
      <c r="M4" s="698" t="s">
        <v>539</v>
      </c>
      <c r="N4" s="336">
        <f>N1*N2</f>
        <v>190.42083333333332</v>
      </c>
    </row>
    <row r="5" spans="1:14" x14ac:dyDescent="0.3">
      <c r="A5" s="698" t="s">
        <v>537</v>
      </c>
      <c r="B5" s="199" t="s">
        <v>354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  <c r="B7" s="161" t="s">
        <v>2438</v>
      </c>
    </row>
    <row r="9" spans="1:14" s="178" customFormat="1" x14ac:dyDescent="0.3">
      <c r="A9" s="723" t="s">
        <v>544</v>
      </c>
      <c r="B9" s="723" t="s">
        <v>581</v>
      </c>
      <c r="C9" s="723" t="s">
        <v>549</v>
      </c>
      <c r="D9" s="723" t="s">
        <v>550</v>
      </c>
      <c r="E9" s="723" t="s">
        <v>567</v>
      </c>
      <c r="F9" s="723" t="s">
        <v>568</v>
      </c>
      <c r="G9" s="723" t="s">
        <v>569</v>
      </c>
      <c r="H9" s="723" t="s">
        <v>570</v>
      </c>
      <c r="I9" s="723" t="s">
        <v>582</v>
      </c>
      <c r="J9" s="723" t="s">
        <v>583</v>
      </c>
      <c r="K9" s="723" t="s">
        <v>584</v>
      </c>
      <c r="L9" s="723" t="s">
        <v>585</v>
      </c>
      <c r="M9" s="723" t="s">
        <v>28</v>
      </c>
      <c r="N9" s="723" t="s">
        <v>547</v>
      </c>
    </row>
    <row r="10" spans="1:14" x14ac:dyDescent="0.3">
      <c r="A10" s="168">
        <v>10</v>
      </c>
      <c r="B10" s="225" t="s">
        <v>2437</v>
      </c>
      <c r="C10" s="225" t="s">
        <v>2436</v>
      </c>
      <c r="D10" s="722">
        <v>100</v>
      </c>
      <c r="E10" s="168">
        <v>0.2</v>
      </c>
      <c r="F10" s="225" t="s">
        <v>856</v>
      </c>
      <c r="G10" s="168"/>
      <c r="H10" s="219"/>
      <c r="I10" s="220"/>
      <c r="J10" s="221"/>
      <c r="K10" s="219"/>
      <c r="L10" s="219"/>
      <c r="M10" s="222">
        <v>4</v>
      </c>
      <c r="N10" s="322">
        <f>D10*E10*M10</f>
        <v>80</v>
      </c>
    </row>
    <row r="11" spans="1:14" x14ac:dyDescent="0.3">
      <c r="A11" s="168">
        <v>20</v>
      </c>
      <c r="B11" s="225" t="s">
        <v>2303</v>
      </c>
      <c r="C11" s="168" t="s">
        <v>2435</v>
      </c>
      <c r="D11" s="323">
        <v>0.05</v>
      </c>
      <c r="E11" s="168"/>
      <c r="F11" s="168"/>
      <c r="G11" s="168"/>
      <c r="H11" s="219"/>
      <c r="I11" s="331"/>
      <c r="J11" s="221"/>
      <c r="K11" s="219"/>
      <c r="L11" s="227"/>
      <c r="M11" s="222">
        <v>16</v>
      </c>
      <c r="N11" s="322">
        <f>IF(J11="",D11*M11,D11*J11*K11*L11*M11)</f>
        <v>0.8</v>
      </c>
    </row>
    <row r="12" spans="1:14" x14ac:dyDescent="0.3">
      <c r="A12" s="168">
        <v>30</v>
      </c>
      <c r="B12" s="225" t="s">
        <v>2303</v>
      </c>
      <c r="C12" s="168" t="s">
        <v>2434</v>
      </c>
      <c r="D12" s="323">
        <v>0.05</v>
      </c>
      <c r="E12" s="168"/>
      <c r="F12" s="168"/>
      <c r="G12" s="168"/>
      <c r="H12" s="219"/>
      <c r="I12" s="331"/>
      <c r="J12" s="221"/>
      <c r="K12" s="219"/>
      <c r="L12" s="227"/>
      <c r="M12" s="222">
        <v>1</v>
      </c>
      <c r="N12" s="322">
        <f>IF(J12="",D12*M12,D12*J12*K12*L12*M12)</f>
        <v>0.05</v>
      </c>
    </row>
    <row r="13" spans="1:14" x14ac:dyDescent="0.3">
      <c r="A13" s="168">
        <v>40</v>
      </c>
      <c r="B13" s="225" t="s">
        <v>2433</v>
      </c>
      <c r="C13" s="168" t="s">
        <v>2432</v>
      </c>
      <c r="D13" s="722">
        <v>3.3</v>
      </c>
      <c r="E13" s="168">
        <v>0.5</v>
      </c>
      <c r="F13" s="168" t="s">
        <v>856</v>
      </c>
      <c r="G13" s="168"/>
      <c r="H13" s="219"/>
      <c r="I13" s="331"/>
      <c r="J13" s="221"/>
      <c r="K13" s="219"/>
      <c r="L13" s="227"/>
      <c r="M13" s="222">
        <v>1</v>
      </c>
      <c r="N13" s="322">
        <f>IF(J13="",D13*M13,D13*J13*K13*L13*M13)</f>
        <v>3.3</v>
      </c>
    </row>
    <row r="14" spans="1:14" s="178" customFormat="1" x14ac:dyDescent="0.3">
      <c r="M14" s="703" t="s">
        <v>547</v>
      </c>
      <c r="N14" s="702">
        <f>SUM(N10:N13)</f>
        <v>84.149999999999991</v>
      </c>
    </row>
    <row r="16" spans="1:14" s="178" customFormat="1" x14ac:dyDescent="0.3">
      <c r="A16" s="700" t="s">
        <v>544</v>
      </c>
      <c r="B16" s="700" t="s">
        <v>548</v>
      </c>
      <c r="C16" s="700" t="s">
        <v>549</v>
      </c>
      <c r="D16" s="700" t="s">
        <v>550</v>
      </c>
      <c r="E16" s="700" t="s">
        <v>551</v>
      </c>
      <c r="F16" s="700" t="s">
        <v>28</v>
      </c>
      <c r="G16" s="700" t="s">
        <v>552</v>
      </c>
      <c r="H16" s="700" t="s">
        <v>553</v>
      </c>
      <c r="I16" s="700" t="s">
        <v>547</v>
      </c>
    </row>
    <row r="17" spans="1:10" x14ac:dyDescent="0.3">
      <c r="A17" s="168">
        <v>10</v>
      </c>
      <c r="B17" s="285" t="s">
        <v>857</v>
      </c>
      <c r="C17" s="171" t="s">
        <v>2430</v>
      </c>
      <c r="D17" s="243">
        <v>35</v>
      </c>
      <c r="E17" s="180" t="s">
        <v>627</v>
      </c>
      <c r="F17" s="168">
        <v>0.4</v>
      </c>
      <c r="G17" s="168" t="s">
        <v>2431</v>
      </c>
      <c r="H17" s="168">
        <v>4</v>
      </c>
      <c r="I17" s="323">
        <f>IF('MS 05001'!$H17&lt;&gt;"",'MS 05001'!$D17*'MS 05001'!$F17*'MS 05001'!$H17,'MS 05001'!$D17*'MS 05001'!$F17)</f>
        <v>56</v>
      </c>
    </row>
    <row r="18" spans="1:10" x14ac:dyDescent="0.3">
      <c r="A18" s="168">
        <v>20</v>
      </c>
      <c r="B18" s="285" t="s">
        <v>1936</v>
      </c>
      <c r="C18" s="171" t="s">
        <v>2430</v>
      </c>
      <c r="D18" s="243">
        <v>5</v>
      </c>
      <c r="E18" s="180" t="s">
        <v>627</v>
      </c>
      <c r="F18" s="168">
        <v>0.4</v>
      </c>
      <c r="G18" s="168" t="s">
        <v>2431</v>
      </c>
      <c r="H18" s="168">
        <v>4</v>
      </c>
      <c r="I18" s="323">
        <f>IF('MS 05001'!$H18&lt;&gt;"",'MS 05001'!$D18*'MS 05001'!$F18*'MS 05001'!$H18,'MS 05001'!$D18*'MS 05001'!$F18)</f>
        <v>8</v>
      </c>
    </row>
    <row r="19" spans="1:10" x14ac:dyDescent="0.3">
      <c r="A19" s="168">
        <v>30</v>
      </c>
      <c r="B19" s="171" t="s">
        <v>858</v>
      </c>
      <c r="C19" s="171" t="s">
        <v>2430</v>
      </c>
      <c r="D19" s="243">
        <v>20</v>
      </c>
      <c r="E19" s="180" t="s">
        <v>627</v>
      </c>
      <c r="F19" s="168">
        <v>0.4</v>
      </c>
      <c r="G19" s="168"/>
      <c r="H19" s="168"/>
      <c r="I19" s="323">
        <f>IF('MS 05001'!$H19&lt;&gt;"",'MS 05001'!$D19*'MS 05001'!$F19*'MS 05001'!$H19,'MS 05001'!$D19*'MS 05001'!$F19)</f>
        <v>8</v>
      </c>
    </row>
    <row r="20" spans="1:10" x14ac:dyDescent="0.3">
      <c r="A20" s="168">
        <v>40</v>
      </c>
      <c r="B20" s="180" t="s">
        <v>1455</v>
      </c>
      <c r="C20" s="171" t="s">
        <v>2429</v>
      </c>
      <c r="D20" s="243">
        <v>1.4</v>
      </c>
      <c r="E20" s="180" t="s">
        <v>1457</v>
      </c>
      <c r="F20" s="168">
        <v>4</v>
      </c>
      <c r="G20" s="168"/>
      <c r="H20" s="168"/>
      <c r="I20" s="323">
        <f>IF('MS 05001'!$H20&lt;&gt;"",'MS 05001'!$D20*'MS 05001'!$F20*'MS 05001'!$H20,'MS 05001'!$D20*'MS 05001'!$F20)</f>
        <v>5.6</v>
      </c>
    </row>
    <row r="21" spans="1:10" x14ac:dyDescent="0.3">
      <c r="A21" s="168">
        <v>50</v>
      </c>
      <c r="B21" s="180" t="s">
        <v>791</v>
      </c>
      <c r="C21" s="180" t="s">
        <v>2428</v>
      </c>
      <c r="D21" s="243">
        <v>0.35</v>
      </c>
      <c r="E21" s="180" t="s">
        <v>843</v>
      </c>
      <c r="F21" s="168">
        <v>6</v>
      </c>
      <c r="G21" s="168"/>
      <c r="H21" s="168"/>
      <c r="I21" s="323">
        <f>IF('MS 05001'!$H21&lt;&gt;"",'MS 05001'!$D21*'MS 05001'!$F21*'MS 05001'!$H21,'MS 05001'!$D21*'MS 05001'!$F21)</f>
        <v>2.0999999999999996</v>
      </c>
    </row>
    <row r="22" spans="1:10" x14ac:dyDescent="0.3">
      <c r="A22" s="168">
        <v>60</v>
      </c>
      <c r="B22" s="180" t="s">
        <v>760</v>
      </c>
      <c r="C22" s="168" t="s">
        <v>2427</v>
      </c>
      <c r="D22" s="243">
        <v>0.1875</v>
      </c>
      <c r="E22" s="180" t="s">
        <v>556</v>
      </c>
      <c r="F22" s="168">
        <v>16</v>
      </c>
      <c r="G22" s="168"/>
      <c r="H22" s="168"/>
      <c r="I22" s="323">
        <f>IF('MS 05001'!$H22&lt;&gt;"",'MS 05001'!$D22*'MS 05001'!$F22*'MS 05001'!$H22,'MS 05001'!$D22*'MS 05001'!$F22)</f>
        <v>3</v>
      </c>
    </row>
    <row r="23" spans="1:10" x14ac:dyDescent="0.3">
      <c r="A23" s="168">
        <v>70</v>
      </c>
      <c r="B23" s="180" t="s">
        <v>760</v>
      </c>
      <c r="C23" s="168" t="s">
        <v>2426</v>
      </c>
      <c r="D23" s="243">
        <v>0.1875</v>
      </c>
      <c r="E23" s="180" t="s">
        <v>556</v>
      </c>
      <c r="F23" s="168">
        <v>1</v>
      </c>
      <c r="G23" s="168"/>
      <c r="H23" s="168"/>
      <c r="I23" s="323">
        <f>IF('MS 05001'!$H23&lt;&gt;"",'MS 05001'!$D23*'MS 05001'!$F23*'MS 05001'!$H23,'MS 05001'!$D23*'MS 05001'!$F23)</f>
        <v>0.1875</v>
      </c>
    </row>
    <row r="24" spans="1:10" x14ac:dyDescent="0.3">
      <c r="A24" s="168">
        <v>80</v>
      </c>
      <c r="B24" s="180" t="s">
        <v>1131</v>
      </c>
      <c r="C24" s="180" t="s">
        <v>2425</v>
      </c>
      <c r="D24" s="243">
        <v>0.06</v>
      </c>
      <c r="E24" s="180" t="s">
        <v>593</v>
      </c>
      <c r="F24" s="168">
        <v>320</v>
      </c>
      <c r="G24" s="168"/>
      <c r="H24" s="168"/>
      <c r="I24" s="323">
        <f>IF('MS 05001'!$H24&lt;&gt;"",'MS 05001'!$D24*'MS 05001'!$F24*'MS 05001'!$H24,'MS 05001'!$D24*'MS 05001'!$F24)</f>
        <v>19.2</v>
      </c>
    </row>
    <row r="25" spans="1:10" x14ac:dyDescent="0.3">
      <c r="A25" s="168">
        <v>90</v>
      </c>
      <c r="B25" s="180" t="s">
        <v>557</v>
      </c>
      <c r="C25" s="180" t="s">
        <v>2424</v>
      </c>
      <c r="D25" s="243">
        <v>6.25E-2</v>
      </c>
      <c r="E25" s="180" t="s">
        <v>556</v>
      </c>
      <c r="F25" s="168">
        <v>8</v>
      </c>
      <c r="G25" s="168"/>
      <c r="H25" s="168"/>
      <c r="I25" s="323">
        <f>IF('MS 05001'!$H25&lt;&gt;"",'MS 05001'!$D25*'MS 05001'!$F25*'MS 05001'!$H25,'MS 05001'!$D25*'MS 05001'!$F25)</f>
        <v>0.5</v>
      </c>
    </row>
    <row r="26" spans="1:10" x14ac:dyDescent="0.3">
      <c r="A26" s="168">
        <v>100</v>
      </c>
      <c r="B26" s="180" t="s">
        <v>557</v>
      </c>
      <c r="C26" s="180" t="s">
        <v>2423</v>
      </c>
      <c r="D26" s="243">
        <v>6.25E-2</v>
      </c>
      <c r="E26" s="180" t="s">
        <v>556</v>
      </c>
      <c r="F26" s="168">
        <v>8</v>
      </c>
      <c r="G26" s="168"/>
      <c r="H26" s="168"/>
      <c r="I26" s="323">
        <f>IF('MS 05001'!$H26&lt;&gt;"",'MS 05001'!$D26*'MS 05001'!$F26*'MS 05001'!$H26,'MS 05001'!$D26*'MS 05001'!$F26)</f>
        <v>0.5</v>
      </c>
    </row>
    <row r="27" spans="1:10" x14ac:dyDescent="0.3">
      <c r="A27" s="168">
        <v>110</v>
      </c>
      <c r="B27" s="180" t="s">
        <v>557</v>
      </c>
      <c r="C27" s="180" t="s">
        <v>2422</v>
      </c>
      <c r="D27" s="243">
        <v>6.25E-2</v>
      </c>
      <c r="E27" s="180" t="s">
        <v>556</v>
      </c>
      <c r="F27" s="168">
        <v>4</v>
      </c>
      <c r="G27" s="168"/>
      <c r="H27" s="168"/>
      <c r="I27" s="323">
        <f>IF('MS 05001'!$H27&lt;&gt;"",'MS 05001'!$D27*'MS 05001'!$F27*'MS 05001'!$H27,'MS 05001'!$D27*'MS 05001'!$F27)</f>
        <v>0.25</v>
      </c>
    </row>
    <row r="28" spans="1:10" s="178" customFormat="1" x14ac:dyDescent="0.3">
      <c r="H28" s="703" t="s">
        <v>547</v>
      </c>
      <c r="I28" s="702">
        <f>SUM(I17:I27)</f>
        <v>103.33749999999999</v>
      </c>
    </row>
    <row r="30" spans="1:10" s="178" customFormat="1" x14ac:dyDescent="0.3">
      <c r="A30" s="700" t="s">
        <v>544</v>
      </c>
      <c r="B30" s="700" t="s">
        <v>566</v>
      </c>
      <c r="C30" s="700" t="s">
        <v>549</v>
      </c>
      <c r="D30" s="700" t="s">
        <v>550</v>
      </c>
      <c r="E30" s="700" t="s">
        <v>567</v>
      </c>
      <c r="F30" s="700" t="s">
        <v>568</v>
      </c>
      <c r="G30" s="700" t="s">
        <v>569</v>
      </c>
      <c r="H30" s="700" t="s">
        <v>570</v>
      </c>
      <c r="I30" s="700" t="s">
        <v>28</v>
      </c>
      <c r="J30" s="700" t="s">
        <v>547</v>
      </c>
    </row>
    <row r="31" spans="1:10" x14ac:dyDescent="0.3">
      <c r="A31" s="168">
        <v>10</v>
      </c>
      <c r="B31" s="225" t="s">
        <v>2421</v>
      </c>
      <c r="C31" s="168" t="s">
        <v>2420</v>
      </c>
      <c r="D31" s="168">
        <v>2E-3</v>
      </c>
      <c r="E31" s="168">
        <v>2</v>
      </c>
      <c r="F31" s="245" t="s">
        <v>593</v>
      </c>
      <c r="G31" s="168">
        <v>20</v>
      </c>
      <c r="H31" s="171" t="s">
        <v>593</v>
      </c>
      <c r="I31" s="327">
        <v>8</v>
      </c>
      <c r="J31" s="323">
        <f>E31*G31*D31*I31</f>
        <v>0.64</v>
      </c>
    </row>
    <row r="32" spans="1:10" x14ac:dyDescent="0.3">
      <c r="A32" s="168">
        <v>20</v>
      </c>
      <c r="B32" s="225" t="s">
        <v>2419</v>
      </c>
      <c r="C32" s="168" t="s">
        <v>2418</v>
      </c>
      <c r="D32" s="168">
        <v>3.0000000000000001E-3</v>
      </c>
      <c r="E32" s="168">
        <v>2</v>
      </c>
      <c r="F32" s="245" t="s">
        <v>593</v>
      </c>
      <c r="G32" s="168">
        <v>20</v>
      </c>
      <c r="H32" s="171" t="s">
        <v>593</v>
      </c>
      <c r="I32" s="327">
        <v>8</v>
      </c>
      <c r="J32" s="323">
        <f>E32*G32*D32*I32</f>
        <v>0.96</v>
      </c>
    </row>
    <row r="33" spans="1:10" s="178" customFormat="1" x14ac:dyDescent="0.3">
      <c r="I33" s="703" t="s">
        <v>547</v>
      </c>
      <c r="J33" s="702">
        <f>SUM(J31:J32)</f>
        <v>1.6</v>
      </c>
    </row>
    <row r="34" spans="1:10" x14ac:dyDescent="0.3">
      <c r="H34" s="326"/>
      <c r="I34" s="325"/>
    </row>
    <row r="35" spans="1:10" s="178" customFormat="1" x14ac:dyDescent="0.3">
      <c r="A35" s="700" t="s">
        <v>544</v>
      </c>
      <c r="B35" s="700" t="s">
        <v>6</v>
      </c>
      <c r="C35" s="700" t="s">
        <v>549</v>
      </c>
      <c r="D35" s="700" t="s">
        <v>550</v>
      </c>
      <c r="E35" s="700" t="s">
        <v>551</v>
      </c>
      <c r="F35" s="700" t="s">
        <v>28</v>
      </c>
      <c r="G35" s="700" t="s">
        <v>691</v>
      </c>
      <c r="H35" s="700" t="s">
        <v>692</v>
      </c>
      <c r="I35" s="700" t="s">
        <v>547</v>
      </c>
    </row>
    <row r="36" spans="1:10" x14ac:dyDescent="0.3">
      <c r="A36" s="180">
        <v>10</v>
      </c>
      <c r="B36" s="179" t="s">
        <v>859</v>
      </c>
      <c r="C36" s="179" t="s">
        <v>353</v>
      </c>
      <c r="D36" s="645">
        <v>10000</v>
      </c>
      <c r="E36" s="180" t="s">
        <v>627</v>
      </c>
      <c r="F36" s="168">
        <v>0.4</v>
      </c>
      <c r="G36" s="168">
        <v>3000</v>
      </c>
      <c r="H36" s="168">
        <v>1</v>
      </c>
      <c r="I36" s="323">
        <f>IF('MS 05001'!$G36&lt;&gt;"",D36*F36/G36*H36,"")</f>
        <v>1.3333333333333333</v>
      </c>
    </row>
    <row r="37" spans="1:10" s="178" customFormat="1" x14ac:dyDescent="0.3">
      <c r="H37" s="703" t="s">
        <v>547</v>
      </c>
      <c r="I37" s="702">
        <f>SUM(I36:I36)</f>
        <v>1.3333333333333333</v>
      </c>
    </row>
  </sheetData>
  <pageMargins left="0.5" right="0.5" top="0.75" bottom="0.75" header="0.3" footer="0.3"/>
  <pageSetup scale="68" orientation="landscape" r:id="rId1"/>
</worksheet>
</file>

<file path=xl/worksheets/sheet2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2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8.88671875" style="161" customWidth="1"/>
    <col min="3" max="3" width="39.3320312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5.44140625" style="161" customWidth="1"/>
    <col min="8" max="8" width="13.88671875" style="161" bestFit="1" customWidth="1"/>
    <col min="9" max="9" width="19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N12+I20+I24</f>
        <v>4.4508514166666666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2</v>
      </c>
    </row>
    <row r="3" spans="1:14" x14ac:dyDescent="0.3">
      <c r="A3" s="698" t="s">
        <v>534</v>
      </c>
      <c r="B3" s="161" t="s">
        <v>353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2449</v>
      </c>
      <c r="D4" s="698" t="s">
        <v>541</v>
      </c>
      <c r="J4" s="698" t="s">
        <v>538</v>
      </c>
      <c r="M4" s="698" t="s">
        <v>539</v>
      </c>
      <c r="N4" s="336">
        <f>N1*N2</f>
        <v>8.9017028333333332</v>
      </c>
    </row>
    <row r="5" spans="1:14" x14ac:dyDescent="0.3">
      <c r="A5" s="698" t="s">
        <v>537</v>
      </c>
      <c r="B5" s="199" t="s">
        <v>355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  <c r="B7" s="161" t="s">
        <v>2448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697</v>
      </c>
      <c r="C10" s="168" t="s">
        <v>1891</v>
      </c>
      <c r="D10" s="302">
        <v>2.25</v>
      </c>
      <c r="E10" s="168">
        <v>120</v>
      </c>
      <c r="F10" s="168" t="s">
        <v>573</v>
      </c>
      <c r="G10" s="168">
        <v>30</v>
      </c>
      <c r="H10" s="219" t="s">
        <v>573</v>
      </c>
      <c r="I10" s="269" t="s">
        <v>2447</v>
      </c>
      <c r="J10" s="227">
        <f>0.12*0.03</f>
        <v>3.5999999999999999E-3</v>
      </c>
      <c r="K10" s="597">
        <v>3.5000000000000001E-3</v>
      </c>
      <c r="L10" s="219">
        <v>8010</v>
      </c>
      <c r="M10" s="222">
        <v>1</v>
      </c>
      <c r="N10" s="322">
        <f>IF(J10="",D10*M10,D10*J10*K10*L10*M10)</f>
        <v>0.22708349999999999</v>
      </c>
    </row>
    <row r="11" spans="1:14" ht="28.8" x14ac:dyDescent="0.3">
      <c r="A11" s="168">
        <v>20</v>
      </c>
      <c r="B11" s="168" t="s">
        <v>697</v>
      </c>
      <c r="C11" s="168" t="s">
        <v>2446</v>
      </c>
      <c r="D11" s="302">
        <v>2.25</v>
      </c>
      <c r="E11" s="168">
        <v>60</v>
      </c>
      <c r="F11" s="168" t="s">
        <v>573</v>
      </c>
      <c r="G11" s="168">
        <v>30</v>
      </c>
      <c r="H11" s="219" t="s">
        <v>573</v>
      </c>
      <c r="I11" s="269" t="s">
        <v>2445</v>
      </c>
      <c r="J11" s="227">
        <f>0.06*0.03</f>
        <v>1.8E-3</v>
      </c>
      <c r="K11" s="597">
        <v>2.5000000000000001E-3</v>
      </c>
      <c r="L11" s="219">
        <v>8010</v>
      </c>
      <c r="M11" s="222">
        <v>1</v>
      </c>
      <c r="N11" s="322">
        <f>IF(J11="",D11*M11,D11*J11*K11*L11*M11)</f>
        <v>8.110125E-2</v>
      </c>
    </row>
    <row r="12" spans="1:14" s="178" customFormat="1" x14ac:dyDescent="0.3">
      <c r="M12" s="701" t="s">
        <v>547</v>
      </c>
      <c r="N12" s="704">
        <f>SUM(N10:N11)</f>
        <v>0.30818475000000001</v>
      </c>
    </row>
    <row r="14" spans="1:14" s="178" customFormat="1" x14ac:dyDescent="0.3">
      <c r="A14" s="700" t="s">
        <v>544</v>
      </c>
      <c r="B14" s="700" t="s">
        <v>548</v>
      </c>
      <c r="C14" s="700" t="s">
        <v>549</v>
      </c>
      <c r="D14" s="700" t="s">
        <v>550</v>
      </c>
      <c r="E14" s="700" t="s">
        <v>551</v>
      </c>
      <c r="F14" s="700" t="s">
        <v>28</v>
      </c>
      <c r="G14" s="700" t="s">
        <v>552</v>
      </c>
      <c r="H14" s="700" t="s">
        <v>553</v>
      </c>
      <c r="I14" s="700" t="s">
        <v>547</v>
      </c>
    </row>
    <row r="15" spans="1:14" x14ac:dyDescent="0.3">
      <c r="A15" s="168">
        <v>10</v>
      </c>
      <c r="B15" s="180" t="s">
        <v>589</v>
      </c>
      <c r="C15" s="168" t="s">
        <v>2444</v>
      </c>
      <c r="D15" s="323">
        <v>1.3</v>
      </c>
      <c r="E15" s="168" t="s">
        <v>556</v>
      </c>
      <c r="F15" s="168">
        <v>1</v>
      </c>
      <c r="G15" s="168"/>
      <c r="H15" s="168"/>
      <c r="I15" s="323">
        <f>D15*F15</f>
        <v>1.3</v>
      </c>
    </row>
    <row r="16" spans="1:14" x14ac:dyDescent="0.3">
      <c r="A16" s="168">
        <v>20</v>
      </c>
      <c r="B16" s="285" t="s">
        <v>700</v>
      </c>
      <c r="C16" s="171" t="s">
        <v>2443</v>
      </c>
      <c r="D16" s="323">
        <v>0.01</v>
      </c>
      <c r="E16" s="168" t="s">
        <v>593</v>
      </c>
      <c r="F16" s="168">
        <v>40.6</v>
      </c>
      <c r="G16" s="168" t="s">
        <v>598</v>
      </c>
      <c r="H16" s="168">
        <v>3</v>
      </c>
      <c r="I16" s="322">
        <f>IF('MS 05002'!$H16&lt;&gt;"",'MS 05002'!$D16*'MS 05002'!$F16*'MS 05002'!$H16,'MS 05002'!$D16*'MS 05002'!$F16)</f>
        <v>1.218</v>
      </c>
    </row>
    <row r="17" spans="1:9" x14ac:dyDescent="0.3">
      <c r="A17" s="168">
        <v>30</v>
      </c>
      <c r="B17" s="285" t="s">
        <v>700</v>
      </c>
      <c r="C17" s="171" t="s">
        <v>2442</v>
      </c>
      <c r="D17" s="323">
        <v>0.01</v>
      </c>
      <c r="E17" s="168" t="s">
        <v>593</v>
      </c>
      <c r="F17" s="168">
        <v>8.6</v>
      </c>
      <c r="G17" s="168" t="s">
        <v>598</v>
      </c>
      <c r="H17" s="168">
        <v>3</v>
      </c>
      <c r="I17" s="322">
        <f>IF('MS 05002'!$H17&lt;&gt;"",'MS 05002'!$D17*'MS 05002'!$F17*'MS 05002'!$H17,'MS 05002'!$D17*'MS 05002'!$F17)</f>
        <v>0.25800000000000001</v>
      </c>
    </row>
    <row r="18" spans="1:9" x14ac:dyDescent="0.3">
      <c r="A18" s="168">
        <v>40</v>
      </c>
      <c r="B18" s="315" t="s">
        <v>2441</v>
      </c>
      <c r="C18" s="171" t="s">
        <v>704</v>
      </c>
      <c r="D18" s="243">
        <v>0.25</v>
      </c>
      <c r="E18" s="180" t="s">
        <v>704</v>
      </c>
      <c r="F18" s="168">
        <v>1</v>
      </c>
      <c r="G18" s="168"/>
      <c r="H18" s="168"/>
      <c r="I18" s="322">
        <f>IF('MS 05002'!$H18&lt;&gt;"",'MS 05002'!$D18*'MS 05002'!$F18*'MS 05002'!$H18,'MS 05002'!$D18*'MS 05002'!$F18)</f>
        <v>0.25</v>
      </c>
    </row>
    <row r="19" spans="1:9" x14ac:dyDescent="0.3">
      <c r="A19" s="168">
        <v>50</v>
      </c>
      <c r="B19" s="180" t="s">
        <v>650</v>
      </c>
      <c r="C19" s="168" t="s">
        <v>2440</v>
      </c>
      <c r="D19" s="323">
        <v>0.15</v>
      </c>
      <c r="E19" s="168" t="s">
        <v>593</v>
      </c>
      <c r="F19" s="168">
        <v>3</v>
      </c>
      <c r="G19" s="168"/>
      <c r="H19" s="168"/>
      <c r="I19" s="322">
        <f>IF('MS 05002'!$H19&lt;&gt;"",'MS 05002'!$D19*'MS 05002'!$F19*'MS 05002'!$H19,'MS 05002'!$D19*'MS 05002'!$F19)</f>
        <v>0.44999999999999996</v>
      </c>
    </row>
    <row r="20" spans="1:9" s="178" customFormat="1" x14ac:dyDescent="0.3">
      <c r="H20" s="701" t="s">
        <v>547</v>
      </c>
      <c r="I20" s="704">
        <f>SUM(I15:I19)</f>
        <v>3.476</v>
      </c>
    </row>
    <row r="22" spans="1:9" s="178" customFormat="1" x14ac:dyDescent="0.3">
      <c r="A22" s="700" t="s">
        <v>544</v>
      </c>
      <c r="B22" s="700" t="s">
        <v>6</v>
      </c>
      <c r="C22" s="700" t="s">
        <v>549</v>
      </c>
      <c r="D22" s="700" t="s">
        <v>550</v>
      </c>
      <c r="E22" s="700" t="s">
        <v>551</v>
      </c>
      <c r="F22" s="700" t="s">
        <v>28</v>
      </c>
      <c r="G22" s="700" t="s">
        <v>691</v>
      </c>
      <c r="H22" s="700" t="s">
        <v>692</v>
      </c>
      <c r="I22" s="700" t="s">
        <v>547</v>
      </c>
    </row>
    <row r="23" spans="1:9" x14ac:dyDescent="0.3">
      <c r="A23" s="168">
        <v>10</v>
      </c>
      <c r="B23" s="272" t="s">
        <v>693</v>
      </c>
      <c r="C23" s="168" t="s">
        <v>2439</v>
      </c>
      <c r="D23" s="323">
        <v>500</v>
      </c>
      <c r="E23" s="168" t="s">
        <v>695</v>
      </c>
      <c r="F23" s="168">
        <v>4</v>
      </c>
      <c r="G23" s="168">
        <v>3000</v>
      </c>
      <c r="H23" s="168">
        <v>1</v>
      </c>
      <c r="I23" s="322">
        <f>D23*F23/G23*H23</f>
        <v>0.66666666666666663</v>
      </c>
    </row>
    <row r="24" spans="1:9" s="178" customFormat="1" x14ac:dyDescent="0.3">
      <c r="H24" s="703" t="s">
        <v>547</v>
      </c>
      <c r="I24" s="704">
        <f>SUM(I23:I23)</f>
        <v>0.66666666666666663</v>
      </c>
    </row>
    <row r="25" spans="1:9" x14ac:dyDescent="0.3">
      <c r="H25" s="326"/>
      <c r="I25" s="325"/>
    </row>
  </sheetData>
  <pageMargins left="0.5" right="0.5" top="0.75" bottom="0.75" header="0.3" footer="0.3"/>
  <pageSetup scale="49" orientation="landscape" r:id="rId1"/>
  <drawing r:id="rId2"/>
</worksheet>
</file>

<file path=xl/worksheets/sheet2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9.109375" style="161" customWidth="1"/>
    <col min="3" max="3" width="39.3320312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3.109375" style="161" customWidth="1"/>
    <col min="8" max="8" width="13.88671875" style="161" bestFit="1" customWidth="1"/>
    <col min="9" max="9" width="19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N11+I17</f>
        <v>1.8548520000000002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2</v>
      </c>
    </row>
    <row r="3" spans="1:14" x14ac:dyDescent="0.3">
      <c r="A3" s="698" t="s">
        <v>534</v>
      </c>
      <c r="B3" s="161" t="s">
        <v>353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2451</v>
      </c>
      <c r="D4" s="698" t="s">
        <v>541</v>
      </c>
      <c r="J4" s="698" t="s">
        <v>538</v>
      </c>
      <c r="M4" s="698" t="s">
        <v>539</v>
      </c>
      <c r="N4" s="336">
        <f>N1*N2</f>
        <v>3.7097040000000003</v>
      </c>
    </row>
    <row r="5" spans="1:14" x14ac:dyDescent="0.3">
      <c r="A5" s="698" t="s">
        <v>537</v>
      </c>
      <c r="B5" s="199" t="s">
        <v>356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  <c r="B7" s="161" t="s">
        <v>2448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697</v>
      </c>
      <c r="C10" s="168" t="s">
        <v>1891</v>
      </c>
      <c r="D10" s="302">
        <v>2.25</v>
      </c>
      <c r="E10" s="168">
        <v>70</v>
      </c>
      <c r="F10" s="168" t="s">
        <v>573</v>
      </c>
      <c r="G10" s="168">
        <v>40</v>
      </c>
      <c r="H10" s="219" t="s">
        <v>573</v>
      </c>
      <c r="I10" s="269" t="s">
        <v>708</v>
      </c>
      <c r="J10" s="227">
        <f>0.07*0.04</f>
        <v>2.8000000000000004E-3</v>
      </c>
      <c r="K10" s="597">
        <v>4.0000000000000001E-3</v>
      </c>
      <c r="L10" s="219">
        <v>8010</v>
      </c>
      <c r="M10" s="222">
        <v>1</v>
      </c>
      <c r="N10" s="322">
        <f>IF(J10="",D10*M10,D10*J10*K10*L10*M10)</f>
        <v>0.20185200000000003</v>
      </c>
    </row>
    <row r="11" spans="1:14" x14ac:dyDescent="0.3">
      <c r="D11" s="728"/>
      <c r="H11" s="724"/>
      <c r="I11" s="727"/>
      <c r="J11" s="726"/>
      <c r="K11" s="725"/>
      <c r="L11" s="724"/>
      <c r="M11" s="701" t="s">
        <v>547</v>
      </c>
      <c r="N11" s="704">
        <f>N10</f>
        <v>0.20185200000000003</v>
      </c>
    </row>
    <row r="13" spans="1:14" s="178" customFormat="1" x14ac:dyDescent="0.3">
      <c r="A13" s="700" t="s">
        <v>544</v>
      </c>
      <c r="B13" s="700" t="s">
        <v>548</v>
      </c>
      <c r="C13" s="700" t="s">
        <v>549</v>
      </c>
      <c r="D13" s="700" t="s">
        <v>550</v>
      </c>
      <c r="E13" s="700" t="s">
        <v>551</v>
      </c>
      <c r="F13" s="700" t="s">
        <v>28</v>
      </c>
      <c r="G13" s="700" t="s">
        <v>552</v>
      </c>
      <c r="H13" s="700" t="s">
        <v>553</v>
      </c>
      <c r="I13" s="700" t="s">
        <v>547</v>
      </c>
    </row>
    <row r="14" spans="1:14" ht="28.8" x14ac:dyDescent="0.3">
      <c r="A14" s="168">
        <v>10</v>
      </c>
      <c r="B14" s="180" t="s">
        <v>589</v>
      </c>
      <c r="C14" s="168" t="s">
        <v>2444</v>
      </c>
      <c r="D14" s="323">
        <v>1.3</v>
      </c>
      <c r="E14" s="168" t="s">
        <v>556</v>
      </c>
      <c r="F14" s="168">
        <v>1</v>
      </c>
      <c r="G14" s="184" t="s">
        <v>2450</v>
      </c>
      <c r="H14" s="168">
        <v>0.5</v>
      </c>
      <c r="I14" s="323">
        <f>D14*F14*H14</f>
        <v>0.65</v>
      </c>
    </row>
    <row r="15" spans="1:14" x14ac:dyDescent="0.3">
      <c r="A15" s="168">
        <v>20</v>
      </c>
      <c r="B15" s="285" t="s">
        <v>700</v>
      </c>
      <c r="C15" s="171" t="s">
        <v>2443</v>
      </c>
      <c r="D15" s="323">
        <v>0.01</v>
      </c>
      <c r="E15" s="168" t="s">
        <v>593</v>
      </c>
      <c r="F15" s="168">
        <v>25.1</v>
      </c>
      <c r="G15" s="168" t="s">
        <v>598</v>
      </c>
      <c r="H15" s="168">
        <v>3</v>
      </c>
      <c r="I15" s="322">
        <f>IF('MS 05003'!$H15&lt;&gt;"",'MS 05003'!$D15*'MS 05003'!$F15*'MS 05003'!$H15,'MS 05003'!$D15*'MS 05003'!$F15)</f>
        <v>0.753</v>
      </c>
    </row>
    <row r="16" spans="1:14" x14ac:dyDescent="0.3">
      <c r="A16" s="168">
        <v>30</v>
      </c>
      <c r="B16" s="180" t="s">
        <v>2441</v>
      </c>
      <c r="C16" s="171" t="s">
        <v>704</v>
      </c>
      <c r="D16" s="243">
        <v>0.25</v>
      </c>
      <c r="E16" s="180" t="s">
        <v>704</v>
      </c>
      <c r="F16" s="168">
        <v>1</v>
      </c>
      <c r="G16" s="168"/>
      <c r="H16" s="168"/>
      <c r="I16" s="322">
        <f>IF('MS 05003'!$H16&lt;&gt;"",'MS 05003'!$D16*'MS 05003'!$F16*'MS 05003'!$H16,'MS 05003'!$D16*'MS 05003'!$F16)</f>
        <v>0.25</v>
      </c>
    </row>
    <row r="17" spans="8:9" s="178" customFormat="1" x14ac:dyDescent="0.3">
      <c r="H17" s="701" t="s">
        <v>547</v>
      </c>
      <c r="I17" s="704">
        <f>SUM(I14:I16)</f>
        <v>1.653</v>
      </c>
    </row>
  </sheetData>
  <pageMargins left="0.5" right="0.5" top="0.75" bottom="0.75" header="0.3" footer="0.3"/>
  <pageSetup scale="50" orientation="landscape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0000"/>
  </sheetPr>
  <dimension ref="A1"/>
  <sheetViews>
    <sheetView showGridLines="0" zoomScale="85" zoomScaleNormal="85" workbookViewId="0"/>
  </sheetViews>
  <sheetFormatPr defaultColWidth="11.5546875" defaultRowHeight="14.4" x14ac:dyDescent="0.3"/>
  <sheetData/>
  <pageMargins left="0.7" right="0.7" top="0.75" bottom="0.75" header="0.3" footer="0.3"/>
  <pageSetup paperSize="9" orientation="landscape" r:id="rId1"/>
  <drawing r:id="rId2"/>
</worksheet>
</file>

<file path=xl/worksheets/sheet2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2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9.6640625" style="161" customWidth="1"/>
    <col min="3" max="3" width="38.5546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7.88671875" style="161" customWidth="1"/>
    <col min="8" max="8" width="13.88671875" style="161" bestFit="1" customWidth="1"/>
    <col min="9" max="9" width="19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N12+I21+I25</f>
        <v>21.730792083333334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353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2414</v>
      </c>
      <c r="D4" s="698" t="s">
        <v>541</v>
      </c>
      <c r="J4" s="698" t="s">
        <v>538</v>
      </c>
      <c r="M4" s="698" t="s">
        <v>539</v>
      </c>
      <c r="N4" s="336">
        <f>N1*N2</f>
        <v>21.730792083333334</v>
      </c>
    </row>
    <row r="5" spans="1:14" x14ac:dyDescent="0.3">
      <c r="A5" s="698" t="s">
        <v>537</v>
      </c>
      <c r="B5" s="199" t="s">
        <v>357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  <c r="B7" s="161" t="s">
        <v>2457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697</v>
      </c>
      <c r="C10" s="168" t="s">
        <v>2456</v>
      </c>
      <c r="D10" s="302">
        <v>2.25</v>
      </c>
      <c r="E10" s="168">
        <v>650</v>
      </c>
      <c r="F10" s="168" t="s">
        <v>573</v>
      </c>
      <c r="G10" s="168">
        <v>170</v>
      </c>
      <c r="H10" s="219" t="s">
        <v>573</v>
      </c>
      <c r="I10" s="269" t="s">
        <v>2455</v>
      </c>
      <c r="J10" s="227">
        <f>0.65*0.17</f>
        <v>0.11050000000000001</v>
      </c>
      <c r="K10" s="597">
        <v>3.0000000000000001E-3</v>
      </c>
      <c r="L10" s="219">
        <v>8010</v>
      </c>
      <c r="M10" s="222">
        <v>1</v>
      </c>
      <c r="N10" s="322">
        <f>IF(J10="",D10*M10,D10*J10*K10*L10*M10)</f>
        <v>5.974458750000001</v>
      </c>
    </row>
    <row r="11" spans="1:14" x14ac:dyDescent="0.3">
      <c r="A11" s="168">
        <v>20</v>
      </c>
      <c r="B11" s="168" t="s">
        <v>625</v>
      </c>
      <c r="C11" s="168" t="s">
        <v>1469</v>
      </c>
      <c r="D11" s="302">
        <v>10</v>
      </c>
      <c r="E11" s="168">
        <v>0.05</v>
      </c>
      <c r="F11" s="168" t="s">
        <v>627</v>
      </c>
      <c r="G11" s="168"/>
      <c r="H11" s="219"/>
      <c r="I11" s="269"/>
      <c r="J11" s="227"/>
      <c r="K11" s="597"/>
      <c r="L11" s="219"/>
      <c r="M11" s="168">
        <v>1</v>
      </c>
      <c r="N11" s="671">
        <f>D11*E11</f>
        <v>0.5</v>
      </c>
    </row>
    <row r="12" spans="1:14" s="178" customFormat="1" x14ac:dyDescent="0.3">
      <c r="M12" s="701" t="s">
        <v>547</v>
      </c>
      <c r="N12" s="704">
        <f>SUM(N10:N11)</f>
        <v>6.474458750000001</v>
      </c>
    </row>
    <row r="14" spans="1:14" s="178" customFormat="1" x14ac:dyDescent="0.3">
      <c r="A14" s="700" t="s">
        <v>544</v>
      </c>
      <c r="B14" s="700" t="s">
        <v>548</v>
      </c>
      <c r="C14" s="700" t="s">
        <v>549</v>
      </c>
      <c r="D14" s="700" t="s">
        <v>550</v>
      </c>
      <c r="E14" s="700" t="s">
        <v>551</v>
      </c>
      <c r="F14" s="700" t="s">
        <v>28</v>
      </c>
      <c r="G14" s="700" t="s">
        <v>552</v>
      </c>
      <c r="H14" s="700" t="s">
        <v>553</v>
      </c>
      <c r="I14" s="700" t="s">
        <v>547</v>
      </c>
    </row>
    <row r="15" spans="1:14" x14ac:dyDescent="0.3">
      <c r="A15" s="168">
        <v>10</v>
      </c>
      <c r="B15" s="180" t="s">
        <v>589</v>
      </c>
      <c r="C15" s="168" t="s">
        <v>2444</v>
      </c>
      <c r="D15" s="323">
        <v>1.3</v>
      </c>
      <c r="E15" s="168" t="s">
        <v>556</v>
      </c>
      <c r="F15" s="168">
        <v>1</v>
      </c>
      <c r="G15" s="168"/>
      <c r="H15" s="168"/>
      <c r="I15" s="323">
        <f>D15*F15</f>
        <v>1.3</v>
      </c>
    </row>
    <row r="16" spans="1:14" x14ac:dyDescent="0.3">
      <c r="A16" s="168">
        <v>20</v>
      </c>
      <c r="B16" s="285" t="s">
        <v>700</v>
      </c>
      <c r="C16" s="171" t="s">
        <v>2454</v>
      </c>
      <c r="D16" s="323">
        <v>0.01</v>
      </c>
      <c r="E16" s="168" t="s">
        <v>593</v>
      </c>
      <c r="F16" s="168">
        <v>299.60000000000002</v>
      </c>
      <c r="G16" s="168" t="s">
        <v>598</v>
      </c>
      <c r="H16" s="168">
        <v>3</v>
      </c>
      <c r="I16" s="322">
        <f>IF('MS 05004'!$H16&lt;&gt;"",'MS 05004'!$D16*'MS 05004'!$F16*'MS 05004'!$H16,'MS 05004'!$D16*'MS 05004'!$F16)</f>
        <v>8.9880000000000013</v>
      </c>
    </row>
    <row r="17" spans="1:9" x14ac:dyDescent="0.3">
      <c r="A17" s="168">
        <v>30</v>
      </c>
      <c r="B17" s="285" t="s">
        <v>700</v>
      </c>
      <c r="C17" s="171" t="s">
        <v>2453</v>
      </c>
      <c r="D17" s="323">
        <v>0.01</v>
      </c>
      <c r="E17" s="168" t="s">
        <v>593</v>
      </c>
      <c r="F17" s="168">
        <v>182</v>
      </c>
      <c r="G17" s="168"/>
      <c r="H17" s="168"/>
      <c r="I17" s="322">
        <f>IF('MS 05004'!$H17&lt;&gt;"",'MS 05004'!$D17*'MS 05004'!$F17*'MS 05004'!$H17,'MS 05004'!$D17*'MS 05004'!$F17)</f>
        <v>1.82</v>
      </c>
    </row>
    <row r="18" spans="1:9" x14ac:dyDescent="0.3">
      <c r="A18" s="168">
        <v>40</v>
      </c>
      <c r="B18" s="180" t="s">
        <v>2441</v>
      </c>
      <c r="C18" s="171" t="s">
        <v>2290</v>
      </c>
      <c r="D18" s="243">
        <v>0.25</v>
      </c>
      <c r="E18" s="180" t="s">
        <v>704</v>
      </c>
      <c r="F18" s="168">
        <v>1</v>
      </c>
      <c r="G18" s="168"/>
      <c r="H18" s="168"/>
      <c r="I18" s="322">
        <f>IF('MS 05007'!$H18&lt;&gt;"",'MS 05007'!$D18*'MS 05007'!$F18*'MS 05007'!$H18,'MS 05007'!$D18*'MS 05007'!$F18)</f>
        <v>5.2499999999999998E-2</v>
      </c>
    </row>
    <row r="19" spans="1:9" x14ac:dyDescent="0.3">
      <c r="A19" s="168">
        <v>50</v>
      </c>
      <c r="B19" s="180" t="s">
        <v>650</v>
      </c>
      <c r="C19" s="168" t="s">
        <v>2452</v>
      </c>
      <c r="D19" s="323">
        <v>0.15</v>
      </c>
      <c r="E19" s="168" t="s">
        <v>593</v>
      </c>
      <c r="F19" s="168">
        <v>10</v>
      </c>
      <c r="G19" s="168"/>
      <c r="H19" s="168"/>
      <c r="I19" s="322">
        <f>IF('MS 05004'!$H19&lt;&gt;"",'MS 05004'!$D19*'MS 05004'!$F19*'MS 05004'!$H19,'MS 05004'!$D19*'MS 05004'!$F19)</f>
        <v>1.5</v>
      </c>
    </row>
    <row r="20" spans="1:9" x14ac:dyDescent="0.3">
      <c r="A20" s="168">
        <v>60</v>
      </c>
      <c r="B20" s="180" t="s">
        <v>762</v>
      </c>
      <c r="C20" s="168" t="s">
        <v>1471</v>
      </c>
      <c r="D20" s="243">
        <v>5.25</v>
      </c>
      <c r="E20" s="180" t="s">
        <v>627</v>
      </c>
      <c r="F20" s="168">
        <f>E11</f>
        <v>0.05</v>
      </c>
      <c r="G20" s="168"/>
      <c r="H20" s="168"/>
      <c r="I20" s="322">
        <f>IF('MS 05004'!$H20&lt;&gt;"",'MS 05004'!$D20*'MS 05004'!$F20*'MS 05004'!$H20,'MS 05004'!$D20*'MS 05004'!$F20)</f>
        <v>0.26250000000000001</v>
      </c>
    </row>
    <row r="21" spans="1:9" s="178" customFormat="1" x14ac:dyDescent="0.3">
      <c r="H21" s="701" t="s">
        <v>547</v>
      </c>
      <c r="I21" s="704">
        <f>SUM(I15:I20)</f>
        <v>13.923000000000002</v>
      </c>
    </row>
    <row r="22" spans="1:9" x14ac:dyDescent="0.3">
      <c r="H22" s="326"/>
      <c r="I22" s="325"/>
    </row>
    <row r="23" spans="1:9" s="178" customFormat="1" x14ac:dyDescent="0.3">
      <c r="A23" s="700" t="s">
        <v>544</v>
      </c>
      <c r="B23" s="700" t="s">
        <v>6</v>
      </c>
      <c r="C23" s="700" t="s">
        <v>549</v>
      </c>
      <c r="D23" s="700" t="s">
        <v>550</v>
      </c>
      <c r="E23" s="700" t="s">
        <v>551</v>
      </c>
      <c r="F23" s="700" t="s">
        <v>28</v>
      </c>
      <c r="G23" s="700" t="s">
        <v>691</v>
      </c>
      <c r="H23" s="700" t="s">
        <v>692</v>
      </c>
      <c r="I23" s="700" t="s">
        <v>547</v>
      </c>
    </row>
    <row r="24" spans="1:9" x14ac:dyDescent="0.3">
      <c r="A24" s="168">
        <v>10</v>
      </c>
      <c r="B24" s="272" t="s">
        <v>693</v>
      </c>
      <c r="C24" s="168" t="s">
        <v>2439</v>
      </c>
      <c r="D24" s="323">
        <v>500</v>
      </c>
      <c r="E24" s="168" t="s">
        <v>695</v>
      </c>
      <c r="F24" s="168">
        <v>8</v>
      </c>
      <c r="G24" s="168">
        <v>3000</v>
      </c>
      <c r="H24" s="168">
        <v>1</v>
      </c>
      <c r="I24" s="322">
        <f>D24*F24/G24*H24</f>
        <v>1.3333333333333333</v>
      </c>
    </row>
    <row r="25" spans="1:9" s="178" customFormat="1" x14ac:dyDescent="0.3">
      <c r="H25" s="703" t="s">
        <v>547</v>
      </c>
      <c r="I25" s="704">
        <f>SUM(I24:I24)</f>
        <v>1.3333333333333333</v>
      </c>
    </row>
    <row r="26" spans="1:9" x14ac:dyDescent="0.3">
      <c r="H26" s="326"/>
      <c r="I26" s="325"/>
    </row>
  </sheetData>
  <pageMargins left="0.5" right="0.5" top="0.75" bottom="0.75" header="0.3" footer="0.3"/>
  <pageSetup scale="51" orientation="landscape" r:id="rId1"/>
  <drawing r:id="rId2"/>
</worksheet>
</file>

<file path=xl/worksheets/sheet2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2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8.44140625" style="161" customWidth="1"/>
    <col min="3" max="3" width="42.33203125" style="161" customWidth="1"/>
    <col min="4" max="4" width="13.5546875" style="161" bestFit="1" customWidth="1"/>
    <col min="5" max="5" width="14.109375" style="161" bestFit="1" customWidth="1"/>
    <col min="6" max="6" width="8.77734375" style="161" customWidth="1"/>
    <col min="7" max="7" width="26.5546875" style="161" customWidth="1"/>
    <col min="8" max="8" width="13.88671875" style="161" bestFit="1" customWidth="1"/>
    <col min="9" max="9" width="19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N12+I20+J24</f>
        <v>3.0985835000000002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2</v>
      </c>
    </row>
    <row r="3" spans="1:14" x14ac:dyDescent="0.3">
      <c r="A3" s="698" t="s">
        <v>534</v>
      </c>
      <c r="B3" s="161" t="s">
        <v>353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359</v>
      </c>
      <c r="D4" s="698" t="s">
        <v>541</v>
      </c>
      <c r="J4" s="698" t="s">
        <v>538</v>
      </c>
      <c r="M4" s="698" t="s">
        <v>539</v>
      </c>
      <c r="N4" s="336">
        <f>N1*N2</f>
        <v>6.1971670000000003</v>
      </c>
    </row>
    <row r="5" spans="1:14" x14ac:dyDescent="0.3">
      <c r="A5" s="698" t="s">
        <v>537</v>
      </c>
      <c r="B5" s="199" t="s">
        <v>358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  <c r="B7" s="161" t="s">
        <v>2462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697</v>
      </c>
      <c r="C10" s="168" t="s">
        <v>607</v>
      </c>
      <c r="D10" s="302">
        <v>2.25</v>
      </c>
      <c r="E10" s="168">
        <v>120</v>
      </c>
      <c r="F10" s="168" t="s">
        <v>573</v>
      </c>
      <c r="G10" s="168">
        <v>30</v>
      </c>
      <c r="H10" s="219" t="s">
        <v>573</v>
      </c>
      <c r="I10" s="269" t="s">
        <v>2447</v>
      </c>
      <c r="J10" s="227">
        <f>0.12*0.03</f>
        <v>3.5999999999999999E-3</v>
      </c>
      <c r="K10" s="597">
        <v>3.5000000000000001E-3</v>
      </c>
      <c r="L10" s="219">
        <v>8010</v>
      </c>
      <c r="M10" s="222">
        <v>1</v>
      </c>
      <c r="N10" s="322">
        <f>IF(J10="",D10*M10,D10*J10*K10*L10*M10)</f>
        <v>0.22708349999999999</v>
      </c>
    </row>
    <row r="11" spans="1:14" x14ac:dyDescent="0.3">
      <c r="A11" s="168">
        <v>20</v>
      </c>
      <c r="B11" s="168" t="s">
        <v>625</v>
      </c>
      <c r="C11" s="168" t="s">
        <v>1469</v>
      </c>
      <c r="D11" s="302">
        <v>10</v>
      </c>
      <c r="E11" s="168">
        <v>0.01</v>
      </c>
      <c r="F11" s="168" t="s">
        <v>627</v>
      </c>
      <c r="G11" s="168"/>
      <c r="H11" s="219"/>
      <c r="I11" s="269"/>
      <c r="J11" s="227"/>
      <c r="K11" s="597"/>
      <c r="L11" s="219"/>
      <c r="M11" s="168">
        <v>0.01</v>
      </c>
      <c r="N11" s="671">
        <f>D11*E11</f>
        <v>0.1</v>
      </c>
    </row>
    <row r="12" spans="1:14" s="178" customFormat="1" x14ac:dyDescent="0.3">
      <c r="M12" s="703" t="s">
        <v>547</v>
      </c>
      <c r="N12" s="702">
        <f>SUM(N10:N11)</f>
        <v>0.32708349999999997</v>
      </c>
    </row>
    <row r="14" spans="1:14" s="178" customFormat="1" x14ac:dyDescent="0.3">
      <c r="A14" s="700" t="s">
        <v>544</v>
      </c>
      <c r="B14" s="700" t="s">
        <v>548</v>
      </c>
      <c r="C14" s="700" t="s">
        <v>549</v>
      </c>
      <c r="D14" s="700" t="s">
        <v>550</v>
      </c>
      <c r="E14" s="700" t="s">
        <v>551</v>
      </c>
      <c r="F14" s="700" t="s">
        <v>28</v>
      </c>
      <c r="G14" s="700" t="s">
        <v>552</v>
      </c>
      <c r="H14" s="700" t="s">
        <v>553</v>
      </c>
      <c r="I14" s="700" t="s">
        <v>547</v>
      </c>
    </row>
    <row r="15" spans="1:14" s="248" customFormat="1" ht="28.8" x14ac:dyDescent="0.3">
      <c r="A15" s="184">
        <v>10</v>
      </c>
      <c r="B15" s="180" t="s">
        <v>589</v>
      </c>
      <c r="C15" s="184" t="s">
        <v>2444</v>
      </c>
      <c r="D15" s="362">
        <v>1.3</v>
      </c>
      <c r="E15" s="184" t="s">
        <v>556</v>
      </c>
      <c r="F15" s="184">
        <v>1</v>
      </c>
      <c r="G15" s="184" t="s">
        <v>2450</v>
      </c>
      <c r="H15" s="184">
        <v>0.5</v>
      </c>
      <c r="I15" s="362">
        <f>D15*F15*H15</f>
        <v>0.65</v>
      </c>
    </row>
    <row r="16" spans="1:14" x14ac:dyDescent="0.3">
      <c r="A16" s="168">
        <v>20</v>
      </c>
      <c r="B16" s="285" t="s">
        <v>700</v>
      </c>
      <c r="C16" s="171" t="s">
        <v>2461</v>
      </c>
      <c r="D16" s="323">
        <v>0.01</v>
      </c>
      <c r="E16" s="168" t="s">
        <v>593</v>
      </c>
      <c r="F16" s="168">
        <v>40</v>
      </c>
      <c r="G16" s="168" t="s">
        <v>598</v>
      </c>
      <c r="H16" s="168">
        <v>3</v>
      </c>
      <c r="I16" s="322">
        <f>IF('MS 05005'!$H16&lt;&gt;"",'MS 05005'!$D16*'MS 05005'!$F16*'MS 05005'!$H16,'MS 05005'!$D16*'MS 05005'!$F16)</f>
        <v>1.2000000000000002</v>
      </c>
    </row>
    <row r="17" spans="1:10" x14ac:dyDescent="0.3">
      <c r="A17" s="168">
        <v>30</v>
      </c>
      <c r="B17" s="180" t="s">
        <v>2441</v>
      </c>
      <c r="C17" s="171" t="s">
        <v>704</v>
      </c>
      <c r="D17" s="243">
        <v>0.25</v>
      </c>
      <c r="E17" s="180" t="s">
        <v>704</v>
      </c>
      <c r="F17" s="168">
        <v>1</v>
      </c>
      <c r="G17" s="168"/>
      <c r="H17" s="168"/>
      <c r="I17" s="322">
        <f>IF('MS 05005'!$H17&lt;&gt;"",'MS 05005'!$D17*'MS 05005'!$F17*'MS 05005'!$H17,'MS 05005'!$D17*'MS 05005'!$F17)</f>
        <v>0.25</v>
      </c>
    </row>
    <row r="18" spans="1:10" x14ac:dyDescent="0.3">
      <c r="A18" s="168">
        <v>40</v>
      </c>
      <c r="B18" s="180" t="s">
        <v>762</v>
      </c>
      <c r="C18" s="168" t="s">
        <v>1471</v>
      </c>
      <c r="D18" s="243">
        <v>5.25</v>
      </c>
      <c r="E18" s="180" t="s">
        <v>627</v>
      </c>
      <c r="F18" s="168">
        <v>0.01</v>
      </c>
      <c r="G18" s="168"/>
      <c r="H18" s="168"/>
      <c r="I18" s="322">
        <f>IF('MS 05005'!$H18&lt;&gt;"",'MS 05005'!$D18*'MS 05005'!$F18*'MS 05005'!$H18,'MS 05005'!$D18*'MS 05005'!$F18)</f>
        <v>5.2499999999999998E-2</v>
      </c>
    </row>
    <row r="19" spans="1:10" x14ac:dyDescent="0.3">
      <c r="A19" s="168">
        <v>50</v>
      </c>
      <c r="B19" s="180" t="s">
        <v>656</v>
      </c>
      <c r="C19" s="168" t="s">
        <v>2460</v>
      </c>
      <c r="D19" s="243">
        <v>0.25</v>
      </c>
      <c r="E19" s="180" t="s">
        <v>556</v>
      </c>
      <c r="F19" s="168">
        <v>1</v>
      </c>
      <c r="G19" s="168"/>
      <c r="H19" s="168"/>
      <c r="I19" s="322">
        <f>IF('MS 05005'!$H19&lt;&gt;"",'MS 05005'!$D19*'MS 05005'!$F19*'MS 05005'!$H19,'MS 05005'!$D19*'MS 05005'!$F19)</f>
        <v>0.25</v>
      </c>
    </row>
    <row r="20" spans="1:10" s="178" customFormat="1" x14ac:dyDescent="0.3">
      <c r="H20" s="703" t="s">
        <v>547</v>
      </c>
      <c r="I20" s="702">
        <f>SUM(I15:I19)</f>
        <v>2.4025000000000003</v>
      </c>
    </row>
    <row r="22" spans="1:10" s="178" customFormat="1" x14ac:dyDescent="0.3">
      <c r="A22" s="700" t="s">
        <v>544</v>
      </c>
      <c r="B22" s="700" t="s">
        <v>566</v>
      </c>
      <c r="C22" s="700" t="s">
        <v>549</v>
      </c>
      <c r="D22" s="700" t="s">
        <v>550</v>
      </c>
      <c r="E22" s="700" t="s">
        <v>567</v>
      </c>
      <c r="F22" s="700" t="s">
        <v>568</v>
      </c>
      <c r="G22" s="700" t="s">
        <v>569</v>
      </c>
      <c r="H22" s="700" t="s">
        <v>570</v>
      </c>
      <c r="I22" s="700" t="s">
        <v>28</v>
      </c>
      <c r="J22" s="700" t="s">
        <v>547</v>
      </c>
    </row>
    <row r="23" spans="1:10" x14ac:dyDescent="0.3">
      <c r="A23" s="168">
        <v>10</v>
      </c>
      <c r="B23" s="225" t="s">
        <v>2459</v>
      </c>
      <c r="C23" s="168" t="s">
        <v>2458</v>
      </c>
      <c r="D23" s="168">
        <v>0.36899999999999999</v>
      </c>
      <c r="E23" s="168">
        <v>8</v>
      </c>
      <c r="F23" s="245" t="s">
        <v>573</v>
      </c>
      <c r="G23" s="168"/>
      <c r="H23" s="171"/>
      <c r="I23" s="327">
        <v>1</v>
      </c>
      <c r="J23" s="323">
        <f>D23*I23</f>
        <v>0.36899999999999999</v>
      </c>
    </row>
    <row r="24" spans="1:10" s="178" customFormat="1" x14ac:dyDescent="0.3">
      <c r="I24" s="703" t="s">
        <v>547</v>
      </c>
      <c r="J24" s="702">
        <f>SUM(J23:J23)</f>
        <v>0.36899999999999999</v>
      </c>
    </row>
    <row r="25" spans="1:10" x14ac:dyDescent="0.3">
      <c r="H25" s="326"/>
      <c r="I25" s="325"/>
    </row>
  </sheetData>
  <pageMargins left="0.5" right="0.5" top="0.75" bottom="0.75" header="0.3" footer="0.3"/>
  <pageSetup scale="49" orientation="landscape" r:id="rId1"/>
  <drawing r:id="rId2"/>
</worksheet>
</file>

<file path=xl/worksheets/sheet2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24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8.5546875" style="161" customWidth="1"/>
    <col min="3" max="3" width="40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4.33203125" style="161" customWidth="1"/>
    <col min="8" max="8" width="13.88671875" style="161" bestFit="1" customWidth="1"/>
    <col min="9" max="9" width="19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N12+I20+J24</f>
        <v>2.4846349999999999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2</v>
      </c>
    </row>
    <row r="3" spans="1:14" x14ac:dyDescent="0.3">
      <c r="A3" s="698" t="s">
        <v>534</v>
      </c>
      <c r="B3" s="161" t="s">
        <v>353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2412</v>
      </c>
      <c r="D4" s="698" t="s">
        <v>541</v>
      </c>
      <c r="J4" s="698" t="s">
        <v>538</v>
      </c>
      <c r="M4" s="698" t="s">
        <v>539</v>
      </c>
      <c r="N4" s="336">
        <f>N1*N2</f>
        <v>4.9692699999999999</v>
      </c>
    </row>
    <row r="5" spans="1:14" x14ac:dyDescent="0.3">
      <c r="A5" s="698" t="s">
        <v>537</v>
      </c>
      <c r="B5" s="199" t="s">
        <v>360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  <c r="B7" s="161" t="s">
        <v>2464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697</v>
      </c>
      <c r="C10" s="168" t="s">
        <v>607</v>
      </c>
      <c r="D10" s="302">
        <v>2.25</v>
      </c>
      <c r="E10" s="168">
        <v>60</v>
      </c>
      <c r="F10" s="168" t="s">
        <v>573</v>
      </c>
      <c r="G10" s="168">
        <v>40</v>
      </c>
      <c r="H10" s="219" t="s">
        <v>573</v>
      </c>
      <c r="I10" s="269" t="s">
        <v>2463</v>
      </c>
      <c r="J10" s="227">
        <f>0.06*0.04</f>
        <v>2.3999999999999998E-3</v>
      </c>
      <c r="K10" s="597">
        <v>2.5000000000000001E-3</v>
      </c>
      <c r="L10" s="219">
        <v>8010</v>
      </c>
      <c r="M10" s="222">
        <v>1</v>
      </c>
      <c r="N10" s="322">
        <f>IF(J10="",D10*M10,D10*J10*K10*L10*M10)</f>
        <v>0.108135</v>
      </c>
    </row>
    <row r="11" spans="1:14" x14ac:dyDescent="0.3">
      <c r="A11" s="168">
        <v>20</v>
      </c>
      <c r="B11" s="168" t="s">
        <v>625</v>
      </c>
      <c r="C11" s="168" t="s">
        <v>1469</v>
      </c>
      <c r="D11" s="302">
        <v>10</v>
      </c>
      <c r="E11" s="168">
        <v>0.01</v>
      </c>
      <c r="F11" s="168" t="s">
        <v>627</v>
      </c>
      <c r="G11" s="168"/>
      <c r="H11" s="219"/>
      <c r="I11" s="269"/>
      <c r="J11" s="227"/>
      <c r="K11" s="597"/>
      <c r="L11" s="219"/>
      <c r="M11" s="168">
        <v>0.01</v>
      </c>
      <c r="N11" s="671">
        <f>D11*E11</f>
        <v>0.1</v>
      </c>
    </row>
    <row r="12" spans="1:14" x14ac:dyDescent="0.3">
      <c r="D12" s="728"/>
      <c r="H12" s="724"/>
      <c r="I12" s="727"/>
      <c r="J12" s="726"/>
      <c r="K12" s="725"/>
      <c r="L12" s="724"/>
      <c r="M12" s="701" t="s">
        <v>547</v>
      </c>
      <c r="N12" s="704">
        <f>SUM(N10:N11)</f>
        <v>0.20813500000000001</v>
      </c>
    </row>
    <row r="14" spans="1:14" s="178" customFormat="1" x14ac:dyDescent="0.3">
      <c r="A14" s="700" t="s">
        <v>544</v>
      </c>
      <c r="B14" s="700" t="s">
        <v>548</v>
      </c>
      <c r="C14" s="700" t="s">
        <v>549</v>
      </c>
      <c r="D14" s="700" t="s">
        <v>550</v>
      </c>
      <c r="E14" s="700" t="s">
        <v>551</v>
      </c>
      <c r="F14" s="700" t="s">
        <v>28</v>
      </c>
      <c r="G14" s="700" t="s">
        <v>552</v>
      </c>
      <c r="H14" s="700" t="s">
        <v>553</v>
      </c>
      <c r="I14" s="700" t="s">
        <v>547</v>
      </c>
    </row>
    <row r="15" spans="1:14" ht="28.8" x14ac:dyDescent="0.3">
      <c r="A15" s="168">
        <v>10</v>
      </c>
      <c r="B15" s="180" t="s">
        <v>589</v>
      </c>
      <c r="C15" s="168" t="s">
        <v>2444</v>
      </c>
      <c r="D15" s="323">
        <v>1.3</v>
      </c>
      <c r="E15" s="168" t="s">
        <v>556</v>
      </c>
      <c r="F15" s="168">
        <v>1</v>
      </c>
      <c r="G15" s="184" t="s">
        <v>2450</v>
      </c>
      <c r="H15" s="168">
        <v>0.5</v>
      </c>
      <c r="I15" s="323">
        <f>D15*F15*H15</f>
        <v>0.65</v>
      </c>
    </row>
    <row r="16" spans="1:14" x14ac:dyDescent="0.3">
      <c r="A16" s="168">
        <v>20</v>
      </c>
      <c r="B16" s="285" t="s">
        <v>700</v>
      </c>
      <c r="C16" s="171" t="s">
        <v>2443</v>
      </c>
      <c r="D16" s="323">
        <v>0.01</v>
      </c>
      <c r="E16" s="168" t="s">
        <v>593</v>
      </c>
      <c r="F16" s="168">
        <v>23.5</v>
      </c>
      <c r="G16" s="168" t="s">
        <v>598</v>
      </c>
      <c r="H16" s="168">
        <v>3</v>
      </c>
      <c r="I16" s="322">
        <f>IF('MS 05006'!$H16&lt;&gt;"",'MS 05006'!$D16*'MS 05006'!$F16*'MS 05006'!$H16,'MS 05006'!$D16*'MS 05006'!$F16)</f>
        <v>0.70500000000000007</v>
      </c>
    </row>
    <row r="17" spans="1:10" x14ac:dyDescent="0.3">
      <c r="A17" s="168">
        <v>30</v>
      </c>
      <c r="B17" s="180" t="s">
        <v>2441</v>
      </c>
      <c r="C17" s="171" t="s">
        <v>704</v>
      </c>
      <c r="D17" s="243">
        <v>0.25</v>
      </c>
      <c r="E17" s="180" t="s">
        <v>704</v>
      </c>
      <c r="F17" s="168">
        <v>1</v>
      </c>
      <c r="G17" s="168"/>
      <c r="H17" s="168"/>
      <c r="I17" s="322">
        <f>IF('MS 05006'!$H17&lt;&gt;"",'MS 05006'!$D17*'MS 05006'!$F17*'MS 05006'!$H17,'MS 05006'!$D17*'MS 05006'!$F17)</f>
        <v>0.25</v>
      </c>
    </row>
    <row r="18" spans="1:10" x14ac:dyDescent="0.3">
      <c r="A18" s="168">
        <v>40</v>
      </c>
      <c r="B18" s="180" t="s">
        <v>762</v>
      </c>
      <c r="C18" s="168" t="s">
        <v>1471</v>
      </c>
      <c r="D18" s="243">
        <v>5.25</v>
      </c>
      <c r="E18" s="180" t="s">
        <v>627</v>
      </c>
      <c r="F18" s="168">
        <f>E11</f>
        <v>0.01</v>
      </c>
      <c r="G18" s="168"/>
      <c r="H18" s="168"/>
      <c r="I18" s="322">
        <f>IF('MS 05006'!$H18&lt;&gt;"",'MS 05006'!$D18*'MS 05006'!$F18*'MS 05006'!$H18,'MS 05006'!$D18*'MS 05006'!$F18)</f>
        <v>5.2499999999999998E-2</v>
      </c>
    </row>
    <row r="19" spans="1:10" x14ac:dyDescent="0.3">
      <c r="A19" s="168">
        <v>50</v>
      </c>
      <c r="B19" s="180" t="s">
        <v>656</v>
      </c>
      <c r="C19" s="168" t="s">
        <v>2460</v>
      </c>
      <c r="D19" s="243">
        <v>0.25</v>
      </c>
      <c r="E19" s="180" t="s">
        <v>556</v>
      </c>
      <c r="F19" s="168">
        <v>1</v>
      </c>
      <c r="G19" s="168"/>
      <c r="H19" s="168"/>
      <c r="I19" s="322">
        <f>IF('MS 05006'!$H19&lt;&gt;"",'MS 05006'!$D19*'MS 05006'!$F19*'MS 05006'!$H19,'MS 05006'!$D19*'MS 05006'!$F19)</f>
        <v>0.25</v>
      </c>
    </row>
    <row r="20" spans="1:10" s="178" customFormat="1" x14ac:dyDescent="0.3">
      <c r="H20" s="701" t="s">
        <v>547</v>
      </c>
      <c r="I20" s="704">
        <f>SUM(I15:I19)</f>
        <v>1.9075</v>
      </c>
    </row>
    <row r="22" spans="1:10" s="178" customFormat="1" x14ac:dyDescent="0.3">
      <c r="A22" s="700" t="s">
        <v>544</v>
      </c>
      <c r="B22" s="700" t="s">
        <v>566</v>
      </c>
      <c r="C22" s="700" t="s">
        <v>549</v>
      </c>
      <c r="D22" s="700" t="s">
        <v>550</v>
      </c>
      <c r="E22" s="700" t="s">
        <v>567</v>
      </c>
      <c r="F22" s="700" t="s">
        <v>568</v>
      </c>
      <c r="G22" s="700" t="s">
        <v>569</v>
      </c>
      <c r="H22" s="700" t="s">
        <v>570</v>
      </c>
      <c r="I22" s="700" t="s">
        <v>28</v>
      </c>
      <c r="J22" s="700" t="s">
        <v>547</v>
      </c>
    </row>
    <row r="23" spans="1:10" x14ac:dyDescent="0.3">
      <c r="A23" s="168">
        <v>10</v>
      </c>
      <c r="B23" s="225" t="s">
        <v>2459</v>
      </c>
      <c r="C23" s="168" t="s">
        <v>2458</v>
      </c>
      <c r="D23" s="168">
        <v>0.36899999999999999</v>
      </c>
      <c r="E23" s="168">
        <v>8</v>
      </c>
      <c r="F23" s="245" t="s">
        <v>573</v>
      </c>
      <c r="G23" s="168"/>
      <c r="H23" s="171"/>
      <c r="I23" s="327">
        <v>1</v>
      </c>
      <c r="J23" s="323">
        <f>D23*I23</f>
        <v>0.36899999999999999</v>
      </c>
    </row>
    <row r="24" spans="1:10" s="178" customFormat="1" x14ac:dyDescent="0.3">
      <c r="I24" s="701" t="s">
        <v>547</v>
      </c>
      <c r="J24" s="704">
        <f>SUM(J23:J23)</f>
        <v>0.36899999999999999</v>
      </c>
    </row>
  </sheetData>
  <pageMargins left="0.5" right="0.5" top="0.75" bottom="0.75" header="0.3" footer="0.3"/>
  <pageSetup scale="68" orientation="landscape" r:id="rId1"/>
</worksheet>
</file>

<file path=xl/worksheets/sheet2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99FF"/>
    <pageSetUpPr fitToPage="1"/>
  </sheetPr>
  <dimension ref="A1:N24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7.109375" style="161" customWidth="1"/>
    <col min="3" max="3" width="40.3320312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1.6640625" style="161" customWidth="1"/>
    <col min="8" max="8" width="13.88671875" style="161" bestFit="1" customWidth="1"/>
    <col min="9" max="9" width="19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698" t="s">
        <v>523</v>
      </c>
      <c r="B1" s="161" t="s">
        <v>524</v>
      </c>
      <c r="J1" s="699" t="s">
        <v>528</v>
      </c>
      <c r="K1" s="163">
        <v>81</v>
      </c>
      <c r="M1" s="698" t="s">
        <v>546</v>
      </c>
      <c r="N1" s="336">
        <f>N11+I20+J24</f>
        <v>2.3765000000000001</v>
      </c>
    </row>
    <row r="2" spans="1:14" x14ac:dyDescent="0.3">
      <c r="A2" s="698" t="s">
        <v>532</v>
      </c>
      <c r="B2" s="161" t="s">
        <v>1434</v>
      </c>
      <c r="D2" s="698" t="s">
        <v>536</v>
      </c>
      <c r="M2" s="698" t="s">
        <v>533</v>
      </c>
      <c r="N2" s="165">
        <v>1</v>
      </c>
    </row>
    <row r="3" spans="1:14" x14ac:dyDescent="0.3">
      <c r="A3" s="698" t="s">
        <v>534</v>
      </c>
      <c r="B3" s="161" t="s">
        <v>353</v>
      </c>
      <c r="D3" s="698" t="s">
        <v>538</v>
      </c>
      <c r="J3" s="698" t="s">
        <v>536</v>
      </c>
    </row>
    <row r="4" spans="1:14" x14ac:dyDescent="0.3">
      <c r="A4" s="698" t="s">
        <v>545</v>
      </c>
      <c r="B4" s="166" t="s">
        <v>2411</v>
      </c>
      <c r="D4" s="698" t="s">
        <v>541</v>
      </c>
      <c r="J4" s="698" t="s">
        <v>538</v>
      </c>
      <c r="M4" s="698" t="s">
        <v>539</v>
      </c>
      <c r="N4" s="336">
        <f>N1*N2</f>
        <v>2.3765000000000001</v>
      </c>
    </row>
    <row r="5" spans="1:14" x14ac:dyDescent="0.3">
      <c r="A5" s="698" t="s">
        <v>537</v>
      </c>
      <c r="B5" s="199" t="s">
        <v>361</v>
      </c>
      <c r="J5" s="698" t="s">
        <v>541</v>
      </c>
    </row>
    <row r="6" spans="1:14" x14ac:dyDescent="0.3">
      <c r="A6" s="698" t="s">
        <v>540</v>
      </c>
      <c r="B6" s="161" t="s">
        <v>36</v>
      </c>
    </row>
    <row r="7" spans="1:14" x14ac:dyDescent="0.3">
      <c r="A7" s="698" t="s">
        <v>542</v>
      </c>
      <c r="B7" s="161" t="s">
        <v>2465</v>
      </c>
    </row>
    <row r="9" spans="1:14" s="178" customFormat="1" x14ac:dyDescent="0.3">
      <c r="A9" s="700" t="s">
        <v>544</v>
      </c>
      <c r="B9" s="700" t="s">
        <v>581</v>
      </c>
      <c r="C9" s="700" t="s">
        <v>549</v>
      </c>
      <c r="D9" s="700" t="s">
        <v>550</v>
      </c>
      <c r="E9" s="700" t="s">
        <v>567</v>
      </c>
      <c r="F9" s="700" t="s">
        <v>568</v>
      </c>
      <c r="G9" s="700" t="s">
        <v>569</v>
      </c>
      <c r="H9" s="700" t="s">
        <v>570</v>
      </c>
      <c r="I9" s="700" t="s">
        <v>582</v>
      </c>
      <c r="J9" s="700" t="s">
        <v>583</v>
      </c>
      <c r="K9" s="700" t="s">
        <v>584</v>
      </c>
      <c r="L9" s="700" t="s">
        <v>585</v>
      </c>
      <c r="M9" s="700" t="s">
        <v>28</v>
      </c>
      <c r="N9" s="700" t="s">
        <v>547</v>
      </c>
    </row>
    <row r="10" spans="1:14" ht="28.8" x14ac:dyDescent="0.3">
      <c r="A10" s="168">
        <v>10</v>
      </c>
      <c r="B10" s="168" t="s">
        <v>697</v>
      </c>
      <c r="C10" s="168" t="s">
        <v>607</v>
      </c>
      <c r="D10" s="302">
        <v>2.25</v>
      </c>
      <c r="E10" s="168">
        <v>60</v>
      </c>
      <c r="F10" s="168" t="s">
        <v>573</v>
      </c>
      <c r="G10" s="168">
        <v>40</v>
      </c>
      <c r="H10" s="219" t="s">
        <v>573</v>
      </c>
      <c r="I10" s="269" t="s">
        <v>2463</v>
      </c>
      <c r="J10" s="227">
        <f>0.06*0.04</f>
        <v>2.3999999999999998E-3</v>
      </c>
      <c r="K10" s="597">
        <v>2.5000000000000001E-3</v>
      </c>
      <c r="L10" s="219">
        <v>8010</v>
      </c>
      <c r="M10" s="222">
        <v>1</v>
      </c>
      <c r="N10" s="322">
        <f>IF(J10="",D10*M10,D10*J10*K10*L10*M10)</f>
        <v>0.108135</v>
      </c>
    </row>
    <row r="11" spans="1:14" x14ac:dyDescent="0.3">
      <c r="A11" s="168">
        <v>20</v>
      </c>
      <c r="B11" s="168" t="s">
        <v>625</v>
      </c>
      <c r="C11" s="168" t="s">
        <v>1469</v>
      </c>
      <c r="D11" s="302">
        <v>10</v>
      </c>
      <c r="E11" s="168">
        <v>0.01</v>
      </c>
      <c r="F11" s="168" t="s">
        <v>627</v>
      </c>
      <c r="G11" s="168"/>
      <c r="H11" s="219"/>
      <c r="I11" s="269"/>
      <c r="J11" s="227"/>
      <c r="K11" s="597"/>
      <c r="L11" s="219"/>
      <c r="M11" s="168">
        <v>1</v>
      </c>
      <c r="N11" s="671">
        <f>D11*E11</f>
        <v>0.1</v>
      </c>
    </row>
    <row r="12" spans="1:14" x14ac:dyDescent="0.3">
      <c r="D12" s="728"/>
      <c r="H12" s="724"/>
      <c r="I12" s="727"/>
      <c r="J12" s="726"/>
      <c r="K12" s="725"/>
      <c r="L12" s="724"/>
      <c r="M12" s="701" t="s">
        <v>547</v>
      </c>
      <c r="N12" s="704">
        <f>SUM(N10:N11)</f>
        <v>0.20813500000000001</v>
      </c>
    </row>
    <row r="14" spans="1:14" s="178" customFormat="1" x14ac:dyDescent="0.3">
      <c r="A14" s="700" t="s">
        <v>544</v>
      </c>
      <c r="B14" s="700" t="s">
        <v>548</v>
      </c>
      <c r="C14" s="700" t="s">
        <v>549</v>
      </c>
      <c r="D14" s="700" t="s">
        <v>550</v>
      </c>
      <c r="E14" s="700" t="s">
        <v>551</v>
      </c>
      <c r="F14" s="700" t="s">
        <v>28</v>
      </c>
      <c r="G14" s="700" t="s">
        <v>552</v>
      </c>
      <c r="H14" s="700" t="s">
        <v>553</v>
      </c>
      <c r="I14" s="700" t="s">
        <v>547</v>
      </c>
    </row>
    <row r="15" spans="1:14" ht="28.8" x14ac:dyDescent="0.3">
      <c r="A15" s="168">
        <v>10</v>
      </c>
      <c r="B15" s="180" t="s">
        <v>589</v>
      </c>
      <c r="C15" s="168" t="s">
        <v>2444</v>
      </c>
      <c r="D15" s="323">
        <v>1.3</v>
      </c>
      <c r="E15" s="168" t="s">
        <v>556</v>
      </c>
      <c r="F15" s="168">
        <v>1</v>
      </c>
      <c r="G15" s="184" t="s">
        <v>2450</v>
      </c>
      <c r="H15" s="168">
        <v>0.5</v>
      </c>
      <c r="I15" s="323">
        <f>D15*F15*H15</f>
        <v>0.65</v>
      </c>
    </row>
    <row r="16" spans="1:14" x14ac:dyDescent="0.3">
      <c r="A16" s="168">
        <v>20</v>
      </c>
      <c r="B16" s="285" t="s">
        <v>700</v>
      </c>
      <c r="C16" s="171" t="s">
        <v>2443</v>
      </c>
      <c r="D16" s="323">
        <v>0.01</v>
      </c>
      <c r="E16" s="168" t="s">
        <v>593</v>
      </c>
      <c r="F16" s="168">
        <v>23.5</v>
      </c>
      <c r="G16" s="168" t="s">
        <v>598</v>
      </c>
      <c r="H16" s="168">
        <v>3</v>
      </c>
      <c r="I16" s="322">
        <f>IF('MS 05007'!$H16&lt;&gt;"",'MS 05007'!$D16*'MS 05007'!$F16*'MS 05007'!$H16,'MS 05007'!$D16*'MS 05007'!$F16)</f>
        <v>0.70500000000000007</v>
      </c>
    </row>
    <row r="17" spans="1:10" x14ac:dyDescent="0.3">
      <c r="A17" s="168">
        <v>30</v>
      </c>
      <c r="B17" s="180" t="s">
        <v>2441</v>
      </c>
      <c r="C17" s="171" t="s">
        <v>704</v>
      </c>
      <c r="D17" s="243">
        <v>0.25</v>
      </c>
      <c r="E17" s="180" t="s">
        <v>704</v>
      </c>
      <c r="F17" s="168">
        <v>1</v>
      </c>
      <c r="G17" s="168"/>
      <c r="H17" s="168"/>
      <c r="I17" s="322">
        <f>IF('MS 05007'!$H17&lt;&gt;"",'MS 05007'!$D17*'MS 05007'!$F17*'MS 05007'!$H17,'MS 05007'!$D17*'MS 05007'!$F17)</f>
        <v>0.25</v>
      </c>
    </row>
    <row r="18" spans="1:10" x14ac:dyDescent="0.3">
      <c r="A18" s="168">
        <v>40</v>
      </c>
      <c r="B18" s="180" t="s">
        <v>762</v>
      </c>
      <c r="C18" s="168" t="s">
        <v>1471</v>
      </c>
      <c r="D18" s="243">
        <v>5.25</v>
      </c>
      <c r="E18" s="180" t="s">
        <v>627</v>
      </c>
      <c r="F18" s="168">
        <f>E11</f>
        <v>0.01</v>
      </c>
      <c r="G18" s="168"/>
      <c r="H18" s="168"/>
      <c r="I18" s="322">
        <f>IF('MS 05007'!$H18&lt;&gt;"",'MS 05007'!$D18*'MS 05007'!$F18*'MS 05007'!$H18,'MS 05007'!$D18*'MS 05007'!$F18)</f>
        <v>5.2499999999999998E-2</v>
      </c>
    </row>
    <row r="19" spans="1:10" x14ac:dyDescent="0.3">
      <c r="A19" s="168">
        <v>50</v>
      </c>
      <c r="B19" s="180" t="s">
        <v>656</v>
      </c>
      <c r="C19" s="168" t="s">
        <v>2460</v>
      </c>
      <c r="D19" s="243">
        <v>0.25</v>
      </c>
      <c r="E19" s="180" t="s">
        <v>556</v>
      </c>
      <c r="F19" s="168">
        <v>1</v>
      </c>
      <c r="G19" s="168"/>
      <c r="H19" s="168"/>
      <c r="I19" s="322">
        <f>IF('MS 05007'!$H19&lt;&gt;"",'MS 05007'!$D19*'MS 05007'!$F19*'MS 05007'!$H19,'MS 05007'!$D19*'MS 05007'!$F19)</f>
        <v>0.25</v>
      </c>
    </row>
    <row r="20" spans="1:10" s="178" customFormat="1" x14ac:dyDescent="0.3">
      <c r="H20" s="701" t="s">
        <v>547</v>
      </c>
      <c r="I20" s="704">
        <f>SUM(I15:I19)</f>
        <v>1.9075</v>
      </c>
    </row>
    <row r="22" spans="1:10" s="178" customFormat="1" x14ac:dyDescent="0.3">
      <c r="A22" s="700" t="s">
        <v>544</v>
      </c>
      <c r="B22" s="700" t="s">
        <v>566</v>
      </c>
      <c r="C22" s="700" t="s">
        <v>549</v>
      </c>
      <c r="D22" s="700" t="s">
        <v>550</v>
      </c>
      <c r="E22" s="700" t="s">
        <v>567</v>
      </c>
      <c r="F22" s="700" t="s">
        <v>568</v>
      </c>
      <c r="G22" s="700" t="s">
        <v>569</v>
      </c>
      <c r="H22" s="700" t="s">
        <v>570</v>
      </c>
      <c r="I22" s="700" t="s">
        <v>28</v>
      </c>
      <c r="J22" s="700" t="s">
        <v>547</v>
      </c>
    </row>
    <row r="23" spans="1:10" x14ac:dyDescent="0.3">
      <c r="A23" s="168">
        <v>10</v>
      </c>
      <c r="B23" s="225" t="s">
        <v>2459</v>
      </c>
      <c r="C23" s="168" t="s">
        <v>2458</v>
      </c>
      <c r="D23" s="168">
        <v>0.36899999999999999</v>
      </c>
      <c r="E23" s="168">
        <v>8</v>
      </c>
      <c r="F23" s="245" t="s">
        <v>573</v>
      </c>
      <c r="G23" s="168"/>
      <c r="H23" s="171"/>
      <c r="I23" s="327">
        <v>1</v>
      </c>
      <c r="J23" s="323">
        <f>D23*I23</f>
        <v>0.36899999999999999</v>
      </c>
    </row>
    <row r="24" spans="1:10" s="178" customFormat="1" x14ac:dyDescent="0.3">
      <c r="I24" s="701" t="s">
        <v>547</v>
      </c>
      <c r="J24" s="704">
        <f>SUM(J23:J23)</f>
        <v>0.36899999999999999</v>
      </c>
    </row>
  </sheetData>
  <pageMargins left="0.5" right="0.5" top="0.75" bottom="0.75" header="0.3" footer="0.3"/>
  <pageSetup scale="68" orientation="landscape" r:id="rId1"/>
</worksheet>
</file>

<file path=xl/worksheets/sheet2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  <pageSetUpPr fitToPage="1"/>
  </sheetPr>
  <dimension ref="A1"/>
  <sheetViews>
    <sheetView showGridLines="0" zoomScaleNormal="100" workbookViewId="0"/>
  </sheetViews>
  <sheetFormatPr defaultColWidth="11.5546875" defaultRowHeight="14.4" x14ac:dyDescent="0.3"/>
  <sheetData/>
  <pageMargins left="0.7" right="0.7" top="0.75" bottom="0.75" header="0.3" footer="0.3"/>
  <pageSetup paperSize="9" scale="84" orientation="portrait" r:id="rId1"/>
  <drawing r:id="rId2"/>
</worksheet>
</file>

<file path=xl/worksheets/sheet2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499984740745262"/>
    <pageSetUpPr fitToPage="1"/>
  </sheetPr>
  <dimension ref="A1:Z73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5.44140625" style="161" customWidth="1"/>
    <col min="3" max="3" width="29.44140625" style="161" customWidth="1"/>
    <col min="4" max="4" width="11" style="161" bestFit="1" customWidth="1"/>
    <col min="5" max="5" width="10.33203125" style="161" bestFit="1" customWidth="1"/>
    <col min="6" max="6" width="12" style="161" bestFit="1" customWidth="1"/>
    <col min="7" max="7" width="10.44140625" style="161" bestFit="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4" x14ac:dyDescent="0.3">
      <c r="A1" s="729" t="s">
        <v>523</v>
      </c>
      <c r="B1" s="161" t="s">
        <v>524</v>
      </c>
      <c r="J1" s="729" t="s">
        <v>528</v>
      </c>
      <c r="K1" s="163">
        <v>81</v>
      </c>
      <c r="M1" s="729" t="s">
        <v>531</v>
      </c>
      <c r="N1" s="336">
        <f>E19+N28+I55+J67+I73</f>
        <v>141.73439710647676</v>
      </c>
    </row>
    <row r="2" spans="1:14" x14ac:dyDescent="0.3">
      <c r="A2" s="729" t="s">
        <v>532</v>
      </c>
      <c r="B2" s="161" t="s">
        <v>13</v>
      </c>
      <c r="M2" s="729" t="s">
        <v>533</v>
      </c>
      <c r="N2" s="165">
        <v>1</v>
      </c>
    </row>
    <row r="3" spans="1:14" x14ac:dyDescent="0.3">
      <c r="A3" s="729" t="s">
        <v>534</v>
      </c>
      <c r="B3" s="161" t="s">
        <v>2466</v>
      </c>
      <c r="J3" s="729" t="s">
        <v>536</v>
      </c>
    </row>
    <row r="4" spans="1:14" x14ac:dyDescent="0.3">
      <c r="A4" s="729" t="s">
        <v>537</v>
      </c>
      <c r="B4" s="166" t="s">
        <v>362</v>
      </c>
      <c r="J4" s="729" t="s">
        <v>538</v>
      </c>
      <c r="M4" s="729" t="s">
        <v>539</v>
      </c>
      <c r="N4" s="336">
        <f>N1*N2</f>
        <v>141.73439710647676</v>
      </c>
    </row>
    <row r="5" spans="1:14" x14ac:dyDescent="0.3">
      <c r="A5" s="729" t="s">
        <v>540</v>
      </c>
      <c r="B5" s="161" t="s">
        <v>36</v>
      </c>
      <c r="J5" s="729" t="s">
        <v>541</v>
      </c>
    </row>
    <row r="6" spans="1:14" x14ac:dyDescent="0.3">
      <c r="A6" s="729" t="s">
        <v>542</v>
      </c>
    </row>
    <row r="8" spans="1:14" x14ac:dyDescent="0.3">
      <c r="A8" s="730" t="s">
        <v>544</v>
      </c>
      <c r="B8" s="730" t="s">
        <v>545</v>
      </c>
      <c r="C8" s="730" t="s">
        <v>546</v>
      </c>
      <c r="D8" s="730" t="s">
        <v>28</v>
      </c>
      <c r="E8" s="730" t="s">
        <v>547</v>
      </c>
    </row>
    <row r="9" spans="1:14" x14ac:dyDescent="0.3">
      <c r="A9" s="168">
        <v>10</v>
      </c>
      <c r="B9" s="168" t="s">
        <v>365</v>
      </c>
      <c r="C9" s="323">
        <f>'ST 01001'!N1</f>
        <v>1.8948880000000001</v>
      </c>
      <c r="D9" s="168">
        <v>1</v>
      </c>
      <c r="E9" s="322">
        <f>C9*D9</f>
        <v>1.8948880000000001</v>
      </c>
    </row>
    <row r="10" spans="1:14" x14ac:dyDescent="0.3">
      <c r="A10" s="168">
        <v>20</v>
      </c>
      <c r="B10" s="168" t="s">
        <v>367</v>
      </c>
      <c r="C10" s="336">
        <f>'ST 01002'!N1</f>
        <v>5.4080390999999999</v>
      </c>
      <c r="D10" s="168">
        <v>1</v>
      </c>
      <c r="E10" s="322">
        <f t="shared" ref="E10:E18" si="0">C10*D10</f>
        <v>5.4080390999999999</v>
      </c>
    </row>
    <row r="11" spans="1:14" x14ac:dyDescent="0.3">
      <c r="A11" s="168">
        <v>30</v>
      </c>
      <c r="B11" s="168" t="s">
        <v>369</v>
      </c>
      <c r="C11" s="323">
        <f>'ST 01003'!N1</f>
        <v>1.4710729999999999</v>
      </c>
      <c r="D11" s="168">
        <v>1</v>
      </c>
      <c r="E11" s="322">
        <f t="shared" si="0"/>
        <v>1.4710729999999999</v>
      </c>
    </row>
    <row r="12" spans="1:14" x14ac:dyDescent="0.3">
      <c r="A12" s="168">
        <v>40</v>
      </c>
      <c r="B12" s="168" t="s">
        <v>2467</v>
      </c>
      <c r="C12" s="323">
        <f>'ST 01004'!N1</f>
        <v>2.0922912999999999</v>
      </c>
      <c r="D12" s="168">
        <v>1</v>
      </c>
      <c r="E12" s="322">
        <f t="shared" si="0"/>
        <v>2.0922912999999999</v>
      </c>
    </row>
    <row r="13" spans="1:14" x14ac:dyDescent="0.3">
      <c r="A13" s="168">
        <v>50</v>
      </c>
      <c r="B13" s="168" t="s">
        <v>372</v>
      </c>
      <c r="C13" s="323">
        <f>'ST 01005'!N1</f>
        <v>10.695038123333333</v>
      </c>
      <c r="D13" s="168">
        <v>1</v>
      </c>
      <c r="E13" s="322">
        <f>C13*D13</f>
        <v>10.695038123333333</v>
      </c>
    </row>
    <row r="14" spans="1:14" x14ac:dyDescent="0.3">
      <c r="A14" s="168">
        <v>60</v>
      </c>
      <c r="B14" s="168" t="s">
        <v>2468</v>
      </c>
      <c r="C14" s="323">
        <f>'ST 01010'!N1</f>
        <v>8.4876375666434107</v>
      </c>
      <c r="D14" s="168">
        <v>1</v>
      </c>
      <c r="E14" s="322">
        <f>C14*D14</f>
        <v>8.4876375666434107</v>
      </c>
    </row>
    <row r="15" spans="1:14" x14ac:dyDescent="0.3">
      <c r="A15" s="168">
        <v>70</v>
      </c>
      <c r="B15" s="168" t="s">
        <v>374</v>
      </c>
      <c r="C15" s="323">
        <f>'ST 01006'!N1</f>
        <v>16.333775000000003</v>
      </c>
      <c r="D15" s="168">
        <v>1</v>
      </c>
      <c r="E15" s="322">
        <f t="shared" si="0"/>
        <v>16.333775000000003</v>
      </c>
    </row>
    <row r="16" spans="1:14" x14ac:dyDescent="0.3">
      <c r="A16" s="168">
        <v>80</v>
      </c>
      <c r="B16" s="168" t="s">
        <v>376</v>
      </c>
      <c r="C16" s="323">
        <f>'ST 01007'!N1</f>
        <v>5.4952275999999998</v>
      </c>
      <c r="D16" s="168">
        <v>1</v>
      </c>
      <c r="E16" s="322">
        <f t="shared" si="0"/>
        <v>5.4952275999999998</v>
      </c>
    </row>
    <row r="17" spans="1:26" x14ac:dyDescent="0.3">
      <c r="A17" s="168">
        <v>90</v>
      </c>
      <c r="B17" s="168" t="s">
        <v>378</v>
      </c>
      <c r="C17" s="323">
        <f>'ST 01008'!N1</f>
        <v>1.102162708</v>
      </c>
      <c r="D17" s="168">
        <v>1</v>
      </c>
      <c r="E17" s="322">
        <f t="shared" si="0"/>
        <v>1.102162708</v>
      </c>
    </row>
    <row r="18" spans="1:26" x14ac:dyDescent="0.3">
      <c r="A18" s="168">
        <v>100</v>
      </c>
      <c r="B18" s="168" t="s">
        <v>380</v>
      </c>
      <c r="C18" s="323">
        <f>'ST 01009'!N1</f>
        <v>1.7412647084999999</v>
      </c>
      <c r="D18" s="168">
        <v>1</v>
      </c>
      <c r="E18" s="322">
        <f t="shared" si="0"/>
        <v>1.7412647084999999</v>
      </c>
    </row>
    <row r="19" spans="1:26" x14ac:dyDescent="0.3">
      <c r="D19" s="731" t="s">
        <v>547</v>
      </c>
      <c r="E19" s="732">
        <f>SUM(E9:E18)</f>
        <v>54.721397106476743</v>
      </c>
    </row>
    <row r="21" spans="1:26" x14ac:dyDescent="0.3">
      <c r="A21" s="730" t="s">
        <v>544</v>
      </c>
      <c r="B21" s="730" t="s">
        <v>581</v>
      </c>
      <c r="C21" s="730" t="s">
        <v>549</v>
      </c>
      <c r="D21" s="730" t="s">
        <v>550</v>
      </c>
      <c r="E21" s="730" t="s">
        <v>567</v>
      </c>
      <c r="F21" s="730" t="s">
        <v>568</v>
      </c>
      <c r="G21" s="730" t="s">
        <v>569</v>
      </c>
      <c r="H21" s="730" t="s">
        <v>570</v>
      </c>
      <c r="I21" s="730" t="s">
        <v>582</v>
      </c>
      <c r="J21" s="730" t="s">
        <v>583</v>
      </c>
      <c r="K21" s="730" t="s">
        <v>584</v>
      </c>
      <c r="L21" s="730" t="s">
        <v>585</v>
      </c>
      <c r="M21" s="730" t="s">
        <v>28</v>
      </c>
      <c r="N21" s="730" t="s">
        <v>547</v>
      </c>
    </row>
    <row r="22" spans="1:26" ht="28.8" x14ac:dyDescent="0.3">
      <c r="A22" s="168">
        <v>10</v>
      </c>
      <c r="B22" s="225" t="s">
        <v>2469</v>
      </c>
      <c r="C22" s="225" t="s">
        <v>2470</v>
      </c>
      <c r="D22" s="584">
        <v>20</v>
      </c>
      <c r="E22" s="168">
        <v>20</v>
      </c>
      <c r="F22" s="168" t="s">
        <v>573</v>
      </c>
      <c r="G22" s="168"/>
      <c r="H22" s="219"/>
      <c r="I22" s="220"/>
      <c r="J22" s="221"/>
      <c r="K22" s="219"/>
      <c r="L22" s="219"/>
      <c r="M22" s="168">
        <v>2</v>
      </c>
      <c r="N22" s="322">
        <f>D22*M22</f>
        <v>40</v>
      </c>
    </row>
    <row r="23" spans="1:26" ht="28.8" x14ac:dyDescent="0.3">
      <c r="A23" s="168">
        <v>20</v>
      </c>
      <c r="B23" s="168" t="s">
        <v>625</v>
      </c>
      <c r="C23" s="184" t="s">
        <v>2471</v>
      </c>
      <c r="D23" s="170">
        <v>10</v>
      </c>
      <c r="E23" s="168">
        <v>2.1999999999999999E-2</v>
      </c>
      <c r="F23" s="168" t="s">
        <v>627</v>
      </c>
      <c r="G23" s="168"/>
      <c r="H23" s="219"/>
      <c r="I23" s="220"/>
      <c r="J23" s="221"/>
      <c r="K23" s="219"/>
      <c r="L23" s="219"/>
      <c r="M23" s="228">
        <v>2.1999999999999999E-2</v>
      </c>
      <c r="N23" s="223">
        <f>IF(J23="",D23*M23,D23*J23*K23*L23*M23)</f>
        <v>0.21999999999999997</v>
      </c>
    </row>
    <row r="24" spans="1:26" ht="28.8" x14ac:dyDescent="0.3">
      <c r="A24" s="168">
        <v>30</v>
      </c>
      <c r="B24" s="225" t="s">
        <v>2472</v>
      </c>
      <c r="C24" s="184" t="s">
        <v>2473</v>
      </c>
      <c r="D24" s="584">
        <v>17</v>
      </c>
      <c r="E24" s="168">
        <v>20</v>
      </c>
      <c r="F24" s="168" t="s">
        <v>573</v>
      </c>
      <c r="G24" s="168"/>
      <c r="H24" s="219"/>
      <c r="I24" s="220"/>
      <c r="J24" s="221"/>
      <c r="K24" s="219"/>
      <c r="L24" s="219"/>
      <c r="M24" s="168">
        <v>1</v>
      </c>
      <c r="N24" s="322">
        <f>D24*M24</f>
        <v>17</v>
      </c>
    </row>
    <row r="25" spans="1:26" ht="28.8" x14ac:dyDescent="0.3">
      <c r="A25" s="168">
        <v>40</v>
      </c>
      <c r="B25" s="225" t="s">
        <v>1224</v>
      </c>
      <c r="C25" s="184" t="s">
        <v>2474</v>
      </c>
      <c r="D25" s="323">
        <v>6.63</v>
      </c>
      <c r="E25" s="168">
        <v>20</v>
      </c>
      <c r="F25" s="168" t="s">
        <v>573</v>
      </c>
      <c r="G25" s="168">
        <v>11</v>
      </c>
      <c r="H25" s="219" t="s">
        <v>573</v>
      </c>
      <c r="I25" s="331"/>
      <c r="J25" s="221"/>
      <c r="K25" s="219"/>
      <c r="L25" s="227"/>
      <c r="M25" s="720">
        <v>2</v>
      </c>
      <c r="N25" s="322">
        <f>D25*M25</f>
        <v>13.26</v>
      </c>
    </row>
    <row r="26" spans="1:26" ht="28.8" x14ac:dyDescent="0.3">
      <c r="A26" s="168">
        <v>50</v>
      </c>
      <c r="B26" s="184" t="s">
        <v>1523</v>
      </c>
      <c r="C26" s="184" t="s">
        <v>2408</v>
      </c>
      <c r="D26" s="463"/>
      <c r="E26" s="168"/>
      <c r="F26" s="168"/>
      <c r="G26" s="168"/>
      <c r="H26" s="219"/>
      <c r="I26" s="331"/>
      <c r="J26" s="221"/>
      <c r="K26" s="219"/>
      <c r="L26" s="227"/>
      <c r="M26" s="720"/>
      <c r="N26" s="333"/>
    </row>
    <row r="27" spans="1:26" ht="28.8" x14ac:dyDescent="0.3">
      <c r="A27" s="168">
        <v>60</v>
      </c>
      <c r="B27" s="225" t="s">
        <v>1447</v>
      </c>
      <c r="C27" s="184" t="s">
        <v>2475</v>
      </c>
      <c r="D27" s="711">
        <v>15</v>
      </c>
      <c r="E27" s="225">
        <v>0.05</v>
      </c>
      <c r="F27" s="225" t="s">
        <v>856</v>
      </c>
      <c r="G27" s="168"/>
      <c r="H27" s="219"/>
      <c r="I27" s="331"/>
      <c r="J27" s="221"/>
      <c r="K27" s="219"/>
      <c r="L27" s="227"/>
      <c r="M27" s="225">
        <v>0.05</v>
      </c>
      <c r="N27" s="322">
        <f>D27*E27</f>
        <v>0.75</v>
      </c>
    </row>
    <row r="28" spans="1:26" s="178" customFormat="1" x14ac:dyDescent="0.3">
      <c r="M28" s="731" t="s">
        <v>547</v>
      </c>
      <c r="N28" s="732">
        <f>SUM(N22:N27)</f>
        <v>71.23</v>
      </c>
    </row>
    <row r="29" spans="1:26" x14ac:dyDescent="0.3">
      <c r="B29" s="248"/>
      <c r="C29" s="248"/>
    </row>
    <row r="30" spans="1:26" s="178" customFormat="1" x14ac:dyDescent="0.3">
      <c r="A30" s="730" t="s">
        <v>544</v>
      </c>
      <c r="B30" s="730" t="s">
        <v>548</v>
      </c>
      <c r="C30" s="730" t="s">
        <v>549</v>
      </c>
      <c r="D30" s="730" t="s">
        <v>550</v>
      </c>
      <c r="E30" s="730" t="s">
        <v>551</v>
      </c>
      <c r="F30" s="730" t="s">
        <v>28</v>
      </c>
      <c r="G30" s="730" t="s">
        <v>552</v>
      </c>
      <c r="H30" s="730" t="s">
        <v>553</v>
      </c>
      <c r="I30" s="730" t="s">
        <v>547</v>
      </c>
    </row>
    <row r="31" spans="1:26" x14ac:dyDescent="0.3">
      <c r="A31" s="168">
        <v>10</v>
      </c>
      <c r="B31" s="180" t="s">
        <v>650</v>
      </c>
      <c r="C31" s="184" t="s">
        <v>2476</v>
      </c>
      <c r="D31" s="733">
        <v>0.15</v>
      </c>
      <c r="E31" s="168" t="s">
        <v>593</v>
      </c>
      <c r="F31" s="168">
        <v>13</v>
      </c>
      <c r="G31" s="168"/>
      <c r="H31" s="168"/>
      <c r="I31" s="170">
        <f>D31*F31</f>
        <v>1.95</v>
      </c>
    </row>
    <row r="32" spans="1:26" x14ac:dyDescent="0.3">
      <c r="A32" s="168">
        <v>20</v>
      </c>
      <c r="B32" s="180" t="s">
        <v>653</v>
      </c>
      <c r="C32" s="184" t="s">
        <v>2477</v>
      </c>
      <c r="D32" s="734">
        <v>5.25</v>
      </c>
      <c r="E32" s="168" t="s">
        <v>627</v>
      </c>
      <c r="F32" s="168">
        <v>0.02</v>
      </c>
      <c r="G32" s="168"/>
      <c r="H32" s="168"/>
      <c r="I32" s="170">
        <f t="shared" ref="I32:I54" si="1">D32*F32</f>
        <v>0.105</v>
      </c>
      <c r="N32" s="256"/>
      <c r="O32" s="256"/>
      <c r="P32" s="256"/>
      <c r="Q32" s="735"/>
      <c r="R32" s="256"/>
      <c r="T32" s="724"/>
      <c r="U32" s="736"/>
      <c r="V32" s="737"/>
      <c r="W32" s="724"/>
      <c r="X32" s="724"/>
      <c r="Y32" s="738"/>
      <c r="Z32" s="164"/>
    </row>
    <row r="33" spans="1:9" x14ac:dyDescent="0.3">
      <c r="A33" s="168">
        <v>30</v>
      </c>
      <c r="B33" s="180" t="s">
        <v>650</v>
      </c>
      <c r="C33" s="184" t="s">
        <v>2478</v>
      </c>
      <c r="D33" s="243">
        <v>0.15</v>
      </c>
      <c r="E33" s="168" t="s">
        <v>593</v>
      </c>
      <c r="F33" s="168">
        <v>5.5</v>
      </c>
      <c r="G33" s="168"/>
      <c r="H33" s="168"/>
      <c r="I33" s="170">
        <f t="shared" si="1"/>
        <v>0.82499999999999996</v>
      </c>
    </row>
    <row r="34" spans="1:9" x14ac:dyDescent="0.3">
      <c r="A34" s="168">
        <v>40</v>
      </c>
      <c r="B34" s="180" t="s">
        <v>653</v>
      </c>
      <c r="C34" s="184" t="s">
        <v>2477</v>
      </c>
      <c r="D34" s="734">
        <v>5.25</v>
      </c>
      <c r="E34" s="168" t="s">
        <v>627</v>
      </c>
      <c r="F34" s="168">
        <v>2E-3</v>
      </c>
      <c r="G34" s="168"/>
      <c r="H34" s="168"/>
      <c r="I34" s="170">
        <f t="shared" si="1"/>
        <v>1.0500000000000001E-2</v>
      </c>
    </row>
    <row r="35" spans="1:9" ht="47.25" customHeight="1" x14ac:dyDescent="0.3">
      <c r="A35" s="168">
        <v>50</v>
      </c>
      <c r="B35" s="180" t="s">
        <v>760</v>
      </c>
      <c r="C35" s="193" t="s">
        <v>2479</v>
      </c>
      <c r="D35" s="734">
        <v>0.1875</v>
      </c>
      <c r="E35" s="180" t="s">
        <v>556</v>
      </c>
      <c r="F35" s="168">
        <v>2</v>
      </c>
      <c r="G35" s="168"/>
      <c r="H35" s="168"/>
      <c r="I35" s="170">
        <f t="shared" si="1"/>
        <v>0.375</v>
      </c>
    </row>
    <row r="36" spans="1:9" x14ac:dyDescent="0.3">
      <c r="A36" s="168">
        <v>60</v>
      </c>
      <c r="B36" s="180" t="s">
        <v>760</v>
      </c>
      <c r="C36" s="171" t="s">
        <v>2480</v>
      </c>
      <c r="D36" s="734">
        <v>0.1875</v>
      </c>
      <c r="E36" s="180" t="s">
        <v>556</v>
      </c>
      <c r="F36" s="168">
        <v>1</v>
      </c>
      <c r="G36" s="168"/>
      <c r="H36" s="168"/>
      <c r="I36" s="170">
        <f t="shared" si="1"/>
        <v>0.1875</v>
      </c>
    </row>
    <row r="37" spans="1:9" ht="28.8" x14ac:dyDescent="0.3">
      <c r="A37" s="168">
        <v>70</v>
      </c>
      <c r="B37" s="180" t="s">
        <v>749</v>
      </c>
      <c r="C37" s="281" t="s">
        <v>2481</v>
      </c>
      <c r="D37" s="734">
        <v>0.125</v>
      </c>
      <c r="E37" s="180" t="s">
        <v>556</v>
      </c>
      <c r="F37" s="168">
        <v>1</v>
      </c>
      <c r="G37" s="168"/>
      <c r="H37" s="168"/>
      <c r="I37" s="170">
        <f t="shared" si="1"/>
        <v>0.125</v>
      </c>
    </row>
    <row r="38" spans="1:9" ht="28.8" x14ac:dyDescent="0.3">
      <c r="A38" s="168">
        <v>80</v>
      </c>
      <c r="B38" s="180" t="s">
        <v>760</v>
      </c>
      <c r="C38" s="281" t="s">
        <v>2482</v>
      </c>
      <c r="D38" s="734">
        <v>0.1875</v>
      </c>
      <c r="E38" s="180" t="s">
        <v>556</v>
      </c>
      <c r="F38" s="168">
        <v>1</v>
      </c>
      <c r="G38" s="168"/>
      <c r="H38" s="168"/>
      <c r="I38" s="170">
        <f t="shared" si="1"/>
        <v>0.1875</v>
      </c>
    </row>
    <row r="39" spans="1:9" ht="28.8" x14ac:dyDescent="0.3">
      <c r="A39" s="168">
        <v>90</v>
      </c>
      <c r="B39" s="180" t="s">
        <v>749</v>
      </c>
      <c r="C39" s="281" t="s">
        <v>2483</v>
      </c>
      <c r="D39" s="734">
        <v>0.125</v>
      </c>
      <c r="E39" s="180" t="s">
        <v>556</v>
      </c>
      <c r="F39" s="168">
        <v>1</v>
      </c>
      <c r="G39" s="168"/>
      <c r="H39" s="168"/>
      <c r="I39" s="170">
        <f t="shared" si="1"/>
        <v>0.125</v>
      </c>
    </row>
    <row r="40" spans="1:9" ht="28.8" x14ac:dyDescent="0.3">
      <c r="A40" s="168">
        <v>100</v>
      </c>
      <c r="B40" s="180" t="s">
        <v>749</v>
      </c>
      <c r="C40" s="281" t="s">
        <v>2484</v>
      </c>
      <c r="D40" s="734">
        <v>0.125</v>
      </c>
      <c r="E40" s="180" t="s">
        <v>556</v>
      </c>
      <c r="F40" s="168">
        <v>1</v>
      </c>
      <c r="G40" s="168"/>
      <c r="H40" s="168"/>
      <c r="I40" s="170">
        <f>D40*F40</f>
        <v>0.125</v>
      </c>
    </row>
    <row r="41" spans="1:9" x14ac:dyDescent="0.3">
      <c r="A41" s="168">
        <v>110</v>
      </c>
      <c r="B41" s="180" t="s">
        <v>659</v>
      </c>
      <c r="C41" s="734" t="s">
        <v>2485</v>
      </c>
      <c r="D41" s="734">
        <v>0.5</v>
      </c>
      <c r="E41" s="180" t="s">
        <v>556</v>
      </c>
      <c r="F41" s="168">
        <v>2</v>
      </c>
      <c r="G41" s="168"/>
      <c r="H41" s="168"/>
      <c r="I41" s="170">
        <f t="shared" si="1"/>
        <v>1</v>
      </c>
    </row>
    <row r="42" spans="1:9" x14ac:dyDescent="0.3">
      <c r="A42" s="168">
        <v>120</v>
      </c>
      <c r="B42" s="180" t="s">
        <v>660</v>
      </c>
      <c r="C42" s="734" t="s">
        <v>2486</v>
      </c>
      <c r="D42" s="734">
        <v>0.25</v>
      </c>
      <c r="E42" s="180" t="s">
        <v>556</v>
      </c>
      <c r="F42" s="168">
        <v>2</v>
      </c>
      <c r="G42" s="168"/>
      <c r="H42" s="168"/>
      <c r="I42" s="170">
        <f t="shared" si="1"/>
        <v>0.5</v>
      </c>
    </row>
    <row r="43" spans="1:9" x14ac:dyDescent="0.3">
      <c r="A43" s="168">
        <v>130</v>
      </c>
      <c r="B43" s="180" t="s">
        <v>791</v>
      </c>
      <c r="C43" s="281" t="s">
        <v>2487</v>
      </c>
      <c r="D43" s="734">
        <v>0.35</v>
      </c>
      <c r="E43" s="180" t="s">
        <v>843</v>
      </c>
      <c r="F43" s="168">
        <v>4</v>
      </c>
      <c r="G43" s="168"/>
      <c r="H43" s="168"/>
      <c r="I43" s="170">
        <f t="shared" si="1"/>
        <v>1.4</v>
      </c>
    </row>
    <row r="44" spans="1:9" ht="28.8" x14ac:dyDescent="0.3">
      <c r="A44" s="168">
        <v>140</v>
      </c>
      <c r="B44" s="180" t="s">
        <v>749</v>
      </c>
      <c r="C44" s="193" t="s">
        <v>2488</v>
      </c>
      <c r="D44" s="734">
        <v>0.125</v>
      </c>
      <c r="E44" s="180" t="s">
        <v>556</v>
      </c>
      <c r="F44" s="168">
        <v>3</v>
      </c>
      <c r="G44" s="168"/>
      <c r="H44" s="168"/>
      <c r="I44" s="170">
        <f t="shared" si="1"/>
        <v>0.375</v>
      </c>
    </row>
    <row r="45" spans="1:9" ht="28.8" x14ac:dyDescent="0.3">
      <c r="A45" s="168">
        <v>150</v>
      </c>
      <c r="B45" s="180" t="s">
        <v>760</v>
      </c>
      <c r="C45" s="193" t="s">
        <v>2489</v>
      </c>
      <c r="D45" s="734">
        <v>0.1875</v>
      </c>
      <c r="E45" s="180" t="s">
        <v>556</v>
      </c>
      <c r="F45" s="168">
        <v>4</v>
      </c>
      <c r="G45" s="168"/>
      <c r="H45" s="168"/>
      <c r="I45" s="170">
        <f t="shared" si="1"/>
        <v>0.75</v>
      </c>
    </row>
    <row r="46" spans="1:9" x14ac:dyDescent="0.3">
      <c r="A46" s="168">
        <v>160</v>
      </c>
      <c r="B46" s="180" t="s">
        <v>650</v>
      </c>
      <c r="C46" s="193" t="s">
        <v>2490</v>
      </c>
      <c r="D46" s="734">
        <v>0.15</v>
      </c>
      <c r="E46" s="180" t="s">
        <v>593</v>
      </c>
      <c r="F46" s="168">
        <v>5</v>
      </c>
      <c r="G46" s="168"/>
      <c r="H46" s="168"/>
      <c r="I46" s="170">
        <f t="shared" si="1"/>
        <v>0.75</v>
      </c>
    </row>
    <row r="47" spans="1:9" x14ac:dyDescent="0.3">
      <c r="A47" s="168">
        <v>170</v>
      </c>
      <c r="B47" s="180" t="s">
        <v>749</v>
      </c>
      <c r="C47" s="193" t="s">
        <v>2491</v>
      </c>
      <c r="D47" s="734">
        <v>0.13</v>
      </c>
      <c r="E47" s="180"/>
      <c r="F47" s="168">
        <v>1</v>
      </c>
      <c r="G47" s="168"/>
      <c r="H47" s="168"/>
      <c r="I47" s="170">
        <f t="shared" si="1"/>
        <v>0.13</v>
      </c>
    </row>
    <row r="48" spans="1:9" x14ac:dyDescent="0.3">
      <c r="A48" s="168">
        <v>180</v>
      </c>
      <c r="B48" s="180" t="s">
        <v>557</v>
      </c>
      <c r="C48" s="193" t="s">
        <v>2492</v>
      </c>
      <c r="D48" s="734">
        <v>0.06</v>
      </c>
      <c r="E48" s="180"/>
      <c r="F48" s="168">
        <v>1</v>
      </c>
      <c r="G48" s="168"/>
      <c r="H48" s="168"/>
      <c r="I48" s="170">
        <f t="shared" si="1"/>
        <v>0.06</v>
      </c>
    </row>
    <row r="49" spans="1:10" x14ac:dyDescent="0.3">
      <c r="A49" s="168">
        <v>190</v>
      </c>
      <c r="B49" s="180" t="s">
        <v>659</v>
      </c>
      <c r="C49" s="193" t="s">
        <v>2493</v>
      </c>
      <c r="D49" s="734">
        <v>0.5</v>
      </c>
      <c r="E49" s="180"/>
      <c r="F49" s="168">
        <v>3</v>
      </c>
      <c r="G49" s="168"/>
      <c r="H49" s="168"/>
      <c r="I49" s="170">
        <f t="shared" si="1"/>
        <v>1.5</v>
      </c>
    </row>
    <row r="50" spans="1:10" x14ac:dyDescent="0.3">
      <c r="A50" s="168">
        <v>200</v>
      </c>
      <c r="B50" s="180" t="s">
        <v>660</v>
      </c>
      <c r="C50" s="734" t="s">
        <v>2486</v>
      </c>
      <c r="D50" s="734">
        <v>0.25</v>
      </c>
      <c r="E50" s="180"/>
      <c r="F50" s="168">
        <v>3</v>
      </c>
      <c r="G50" s="168"/>
      <c r="H50" s="168"/>
      <c r="I50" s="170">
        <f t="shared" si="1"/>
        <v>0.75</v>
      </c>
    </row>
    <row r="51" spans="1:10" ht="28.8" x14ac:dyDescent="0.3">
      <c r="A51" s="168">
        <v>210</v>
      </c>
      <c r="B51" s="180" t="s">
        <v>557</v>
      </c>
      <c r="C51" s="193" t="s">
        <v>2494</v>
      </c>
      <c r="D51" s="734">
        <v>0.06</v>
      </c>
      <c r="E51" s="180"/>
      <c r="F51" s="168">
        <v>2</v>
      </c>
      <c r="G51" s="168"/>
      <c r="H51" s="168"/>
      <c r="I51" s="170">
        <f t="shared" si="1"/>
        <v>0.12</v>
      </c>
    </row>
    <row r="52" spans="1:10" x14ac:dyDescent="0.3">
      <c r="A52" s="168">
        <v>220</v>
      </c>
      <c r="B52" s="180" t="s">
        <v>659</v>
      </c>
      <c r="C52" s="193" t="s">
        <v>2493</v>
      </c>
      <c r="D52" s="734">
        <v>0.5</v>
      </c>
      <c r="E52" s="180" t="s">
        <v>556</v>
      </c>
      <c r="F52" s="168">
        <v>3</v>
      </c>
      <c r="G52" s="168"/>
      <c r="H52" s="168"/>
      <c r="I52" s="170">
        <f t="shared" si="1"/>
        <v>1.5</v>
      </c>
    </row>
    <row r="53" spans="1:10" x14ac:dyDescent="0.3">
      <c r="A53" s="168">
        <v>230</v>
      </c>
      <c r="B53" s="180" t="s">
        <v>660</v>
      </c>
      <c r="C53" s="734" t="s">
        <v>2486</v>
      </c>
      <c r="D53" s="734">
        <v>0.25</v>
      </c>
      <c r="E53" s="180" t="s">
        <v>556</v>
      </c>
      <c r="F53" s="168">
        <v>3</v>
      </c>
      <c r="G53" s="168"/>
      <c r="H53" s="168"/>
      <c r="I53" s="170">
        <f t="shared" si="1"/>
        <v>0.75</v>
      </c>
    </row>
    <row r="54" spans="1:10" ht="28.8" x14ac:dyDescent="0.3">
      <c r="A54" s="168">
        <v>240</v>
      </c>
      <c r="B54" s="180" t="s">
        <v>557</v>
      </c>
      <c r="C54" s="284" t="s">
        <v>2495</v>
      </c>
      <c r="D54" s="243">
        <v>6.25E-2</v>
      </c>
      <c r="E54" s="180" t="s">
        <v>556</v>
      </c>
      <c r="F54" s="168">
        <v>1</v>
      </c>
      <c r="G54" s="168"/>
      <c r="H54" s="168"/>
      <c r="I54" s="170">
        <f t="shared" si="1"/>
        <v>6.25E-2</v>
      </c>
    </row>
    <row r="55" spans="1:10" s="178" customFormat="1" x14ac:dyDescent="0.3">
      <c r="H55" s="731" t="s">
        <v>547</v>
      </c>
      <c r="I55" s="739">
        <f>SUM(I31:I54)</f>
        <v>13.663</v>
      </c>
    </row>
    <row r="57" spans="1:10" s="178" customFormat="1" x14ac:dyDescent="0.3">
      <c r="A57" s="730" t="s">
        <v>544</v>
      </c>
      <c r="B57" s="730" t="s">
        <v>566</v>
      </c>
      <c r="C57" s="730" t="s">
        <v>549</v>
      </c>
      <c r="D57" s="730" t="s">
        <v>550</v>
      </c>
      <c r="E57" s="730" t="s">
        <v>567</v>
      </c>
      <c r="F57" s="730" t="s">
        <v>568</v>
      </c>
      <c r="G57" s="730" t="s">
        <v>569</v>
      </c>
      <c r="H57" s="730" t="s">
        <v>570</v>
      </c>
      <c r="I57" s="730" t="s">
        <v>28</v>
      </c>
      <c r="J57" s="730" t="s">
        <v>547</v>
      </c>
    </row>
    <row r="58" spans="1:10" x14ac:dyDescent="0.3">
      <c r="A58" s="168">
        <v>10</v>
      </c>
      <c r="B58" s="225" t="s">
        <v>2496</v>
      </c>
      <c r="C58" s="740"/>
      <c r="D58" s="323">
        <v>0.05</v>
      </c>
      <c r="E58" s="168">
        <v>5</v>
      </c>
      <c r="F58" s="245" t="s">
        <v>573</v>
      </c>
      <c r="G58" s="168"/>
      <c r="H58" s="171"/>
      <c r="I58" s="327">
        <v>6</v>
      </c>
      <c r="J58" s="323">
        <f>D58*I58</f>
        <v>0.30000000000000004</v>
      </c>
    </row>
    <row r="59" spans="1:10" x14ac:dyDescent="0.3">
      <c r="A59" s="168">
        <v>20</v>
      </c>
      <c r="B59" s="225" t="s">
        <v>575</v>
      </c>
      <c r="C59" s="168"/>
      <c r="D59" s="323">
        <v>0.09</v>
      </c>
      <c r="E59" s="168">
        <v>20</v>
      </c>
      <c r="F59" s="245" t="s">
        <v>573</v>
      </c>
      <c r="G59" s="168"/>
      <c r="H59" s="171"/>
      <c r="I59" s="327">
        <v>1</v>
      </c>
      <c r="J59" s="323">
        <f t="shared" ref="J59:J66" si="2">D59*I59</f>
        <v>0.09</v>
      </c>
    </row>
    <row r="60" spans="1:10" x14ac:dyDescent="0.3">
      <c r="A60" s="168">
        <v>30</v>
      </c>
      <c r="B60" s="225" t="s">
        <v>684</v>
      </c>
      <c r="C60" s="168" t="s">
        <v>2497</v>
      </c>
      <c r="D60" s="323">
        <v>7.0000000000000007E-2</v>
      </c>
      <c r="E60" s="225">
        <v>6</v>
      </c>
      <c r="F60" s="225" t="s">
        <v>573</v>
      </c>
      <c r="G60" s="225">
        <v>30</v>
      </c>
      <c r="H60" s="225" t="s">
        <v>573</v>
      </c>
      <c r="I60" s="327">
        <v>2</v>
      </c>
      <c r="J60" s="323">
        <f t="shared" si="2"/>
        <v>0.14000000000000001</v>
      </c>
    </row>
    <row r="61" spans="1:10" x14ac:dyDescent="0.3">
      <c r="A61" s="168">
        <v>40</v>
      </c>
      <c r="B61" s="741" t="s">
        <v>618</v>
      </c>
      <c r="C61" s="168" t="s">
        <v>2498</v>
      </c>
      <c r="D61" s="323">
        <v>0.03</v>
      </c>
      <c r="E61" s="168">
        <v>6</v>
      </c>
      <c r="F61" s="168" t="s">
        <v>573</v>
      </c>
      <c r="G61" s="168"/>
      <c r="H61" s="168"/>
      <c r="I61" s="327">
        <v>2</v>
      </c>
      <c r="J61" s="323">
        <f>D61*I61</f>
        <v>0.06</v>
      </c>
    </row>
    <row r="62" spans="1:10" x14ac:dyDescent="0.3">
      <c r="A62" s="168">
        <v>50</v>
      </c>
      <c r="B62" s="356" t="s">
        <v>574</v>
      </c>
      <c r="C62" s="168" t="s">
        <v>2499</v>
      </c>
      <c r="D62" s="323">
        <v>0.01</v>
      </c>
      <c r="E62" s="168">
        <v>6</v>
      </c>
      <c r="F62" s="245" t="s">
        <v>573</v>
      </c>
      <c r="G62" s="168"/>
      <c r="H62" s="171"/>
      <c r="I62" s="327">
        <v>2</v>
      </c>
      <c r="J62" s="323">
        <f>D62*I62</f>
        <v>0.02</v>
      </c>
    </row>
    <row r="63" spans="1:10" x14ac:dyDescent="0.3">
      <c r="A63" s="168">
        <v>60</v>
      </c>
      <c r="B63" s="225" t="s">
        <v>684</v>
      </c>
      <c r="C63" s="168" t="s">
        <v>2500</v>
      </c>
      <c r="D63" s="323">
        <v>0.05</v>
      </c>
      <c r="E63" s="225">
        <v>5</v>
      </c>
      <c r="F63" s="225" t="s">
        <v>573</v>
      </c>
      <c r="G63" s="225">
        <v>20</v>
      </c>
      <c r="H63" s="225" t="s">
        <v>573</v>
      </c>
      <c r="I63" s="327">
        <v>3</v>
      </c>
      <c r="J63" s="323">
        <f t="shared" si="2"/>
        <v>0.15000000000000002</v>
      </c>
    </row>
    <row r="64" spans="1:10" x14ac:dyDescent="0.3">
      <c r="A64" s="168">
        <v>70</v>
      </c>
      <c r="B64" s="225" t="s">
        <v>684</v>
      </c>
      <c r="C64" s="168" t="s">
        <v>2501</v>
      </c>
      <c r="D64" s="323">
        <v>0.05</v>
      </c>
      <c r="E64" s="225">
        <v>5</v>
      </c>
      <c r="F64" s="225" t="s">
        <v>573</v>
      </c>
      <c r="G64" s="225">
        <v>30</v>
      </c>
      <c r="H64" s="225" t="s">
        <v>573</v>
      </c>
      <c r="I64" s="327">
        <v>3</v>
      </c>
      <c r="J64" s="323">
        <f t="shared" si="2"/>
        <v>0.15000000000000002</v>
      </c>
    </row>
    <row r="65" spans="1:10" x14ac:dyDescent="0.3">
      <c r="A65" s="168">
        <v>80</v>
      </c>
      <c r="B65" s="225" t="s">
        <v>574</v>
      </c>
      <c r="C65" s="168" t="s">
        <v>2502</v>
      </c>
      <c r="D65" s="323">
        <v>0.01</v>
      </c>
      <c r="E65" s="225">
        <v>5</v>
      </c>
      <c r="F65" s="225" t="s">
        <v>573</v>
      </c>
      <c r="G65" s="225"/>
      <c r="H65" s="225"/>
      <c r="I65" s="327">
        <v>9</v>
      </c>
      <c r="J65" s="323">
        <f t="shared" si="2"/>
        <v>0.09</v>
      </c>
    </row>
    <row r="66" spans="1:10" x14ac:dyDescent="0.3">
      <c r="A66" s="168">
        <v>90</v>
      </c>
      <c r="B66" s="741" t="s">
        <v>618</v>
      </c>
      <c r="C66" s="168" t="s">
        <v>2498</v>
      </c>
      <c r="D66" s="323">
        <v>0.02</v>
      </c>
      <c r="E66" s="168">
        <v>5</v>
      </c>
      <c r="F66" s="245" t="s">
        <v>573</v>
      </c>
      <c r="G66" s="168"/>
      <c r="H66" s="171"/>
      <c r="I66" s="327">
        <v>6</v>
      </c>
      <c r="J66" s="323">
        <f t="shared" si="2"/>
        <v>0.12</v>
      </c>
    </row>
    <row r="67" spans="1:10" s="178" customFormat="1" x14ac:dyDescent="0.3">
      <c r="I67" s="731" t="s">
        <v>547</v>
      </c>
      <c r="J67" s="732">
        <f>SUM(J58:J66)</f>
        <v>1.1200000000000001</v>
      </c>
    </row>
    <row r="68" spans="1:10" x14ac:dyDescent="0.3">
      <c r="H68" s="326"/>
      <c r="I68" s="325"/>
    </row>
    <row r="69" spans="1:10" s="178" customFormat="1" x14ac:dyDescent="0.3">
      <c r="A69" s="730" t="s">
        <v>544</v>
      </c>
      <c r="B69" s="730" t="s">
        <v>6</v>
      </c>
      <c r="C69" s="730" t="s">
        <v>549</v>
      </c>
      <c r="D69" s="730" t="s">
        <v>550</v>
      </c>
      <c r="E69" s="730" t="s">
        <v>551</v>
      </c>
      <c r="F69" s="730" t="s">
        <v>28</v>
      </c>
      <c r="G69" s="730" t="s">
        <v>691</v>
      </c>
      <c r="H69" s="730" t="s">
        <v>736</v>
      </c>
      <c r="I69" s="730" t="s">
        <v>547</v>
      </c>
    </row>
    <row r="70" spans="1:10" x14ac:dyDescent="0.3">
      <c r="A70" s="168">
        <v>10</v>
      </c>
      <c r="B70" s="168" t="s">
        <v>1767</v>
      </c>
      <c r="C70" s="168" t="s">
        <v>2478</v>
      </c>
      <c r="D70" s="170">
        <v>500</v>
      </c>
      <c r="E70" s="168" t="s">
        <v>695</v>
      </c>
      <c r="F70" s="168">
        <v>2</v>
      </c>
      <c r="G70" s="168">
        <v>3000</v>
      </c>
      <c r="H70" s="168">
        <v>1</v>
      </c>
      <c r="I70" s="223">
        <f>D70*F70/G70*H70</f>
        <v>0.33333333333333331</v>
      </c>
    </row>
    <row r="71" spans="1:10" x14ac:dyDescent="0.3">
      <c r="A71" s="592">
        <v>20</v>
      </c>
      <c r="B71" s="742" t="s">
        <v>1767</v>
      </c>
      <c r="C71" s="743" t="s">
        <v>2503</v>
      </c>
      <c r="D71" s="744">
        <v>500</v>
      </c>
      <c r="E71" s="743" t="s">
        <v>695</v>
      </c>
      <c r="F71" s="743">
        <v>2</v>
      </c>
      <c r="G71" s="743">
        <v>3000</v>
      </c>
      <c r="H71" s="743">
        <v>1</v>
      </c>
      <c r="I71" s="745">
        <f>D71*F71/G71*H71</f>
        <v>0.33333333333333331</v>
      </c>
    </row>
    <row r="72" spans="1:10" ht="28.8" x14ac:dyDescent="0.3">
      <c r="A72" s="168">
        <v>30</v>
      </c>
      <c r="B72" s="720" t="s">
        <v>1767</v>
      </c>
      <c r="C72" s="746" t="s">
        <v>2504</v>
      </c>
      <c r="D72" s="170">
        <v>500</v>
      </c>
      <c r="E72" s="720" t="s">
        <v>695</v>
      </c>
      <c r="F72" s="720">
        <v>2</v>
      </c>
      <c r="G72" s="720">
        <v>3000</v>
      </c>
      <c r="H72" s="720">
        <v>1</v>
      </c>
      <c r="I72" s="745">
        <f>D72*F72/G72*H72</f>
        <v>0.33333333333333331</v>
      </c>
    </row>
    <row r="73" spans="1:10" s="178" customFormat="1" x14ac:dyDescent="0.3">
      <c r="H73" s="731" t="s">
        <v>547</v>
      </c>
      <c r="I73" s="732">
        <f>SUM(I70:I72)</f>
        <v>1</v>
      </c>
    </row>
  </sheetData>
  <pageMargins left="0.5" right="0.5" top="0.75" bottom="0.75" header="0.3" footer="0.3"/>
  <pageSetup paperSize="9" scale="66" fitToHeight="0" orientation="landscape"/>
  <drawing r:id="rId1"/>
</worksheet>
</file>

<file path=xl/worksheets/sheet2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O18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2.44140625" style="161" bestFit="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5" x14ac:dyDescent="0.3">
      <c r="A1" s="747" t="s">
        <v>523</v>
      </c>
      <c r="B1" s="161" t="s">
        <v>524</v>
      </c>
      <c r="J1" s="748" t="s">
        <v>528</v>
      </c>
      <c r="K1" s="163">
        <v>81</v>
      </c>
      <c r="M1" s="747" t="s">
        <v>546</v>
      </c>
      <c r="N1" s="336">
        <f>N11+I16</f>
        <v>1.8948880000000001</v>
      </c>
    </row>
    <row r="2" spans="1:15" x14ac:dyDescent="0.3">
      <c r="A2" s="747" t="s">
        <v>532</v>
      </c>
      <c r="B2" s="161" t="s">
        <v>13</v>
      </c>
      <c r="D2" s="747" t="s">
        <v>536</v>
      </c>
      <c r="M2" s="747" t="s">
        <v>533</v>
      </c>
      <c r="N2" s="165">
        <v>1</v>
      </c>
    </row>
    <row r="3" spans="1:15" x14ac:dyDescent="0.3">
      <c r="A3" s="747" t="s">
        <v>534</v>
      </c>
      <c r="B3" s="161" t="s">
        <v>363</v>
      </c>
      <c r="D3" s="747" t="s">
        <v>538</v>
      </c>
      <c r="J3" s="747" t="s">
        <v>536</v>
      </c>
    </row>
    <row r="4" spans="1:15" x14ac:dyDescent="0.3">
      <c r="A4" s="747" t="s">
        <v>545</v>
      </c>
      <c r="B4" s="166" t="s">
        <v>2505</v>
      </c>
      <c r="D4" s="747" t="s">
        <v>541</v>
      </c>
      <c r="J4" s="747" t="s">
        <v>538</v>
      </c>
      <c r="M4" s="747" t="s">
        <v>539</v>
      </c>
      <c r="N4" s="336">
        <f>N1*N2</f>
        <v>1.8948880000000001</v>
      </c>
    </row>
    <row r="5" spans="1:15" x14ac:dyDescent="0.3">
      <c r="A5" s="747" t="s">
        <v>537</v>
      </c>
      <c r="B5" s="166" t="s">
        <v>364</v>
      </c>
      <c r="J5" s="747" t="s">
        <v>541</v>
      </c>
    </row>
    <row r="6" spans="1:15" x14ac:dyDescent="0.3">
      <c r="A6" s="747" t="s">
        <v>540</v>
      </c>
      <c r="B6" s="161" t="s">
        <v>36</v>
      </c>
    </row>
    <row r="7" spans="1:15" x14ac:dyDescent="0.3">
      <c r="A7" s="747" t="s">
        <v>542</v>
      </c>
    </row>
    <row r="9" spans="1:15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  <c r="O9" s="178"/>
    </row>
    <row r="10" spans="1:15" ht="43.2" x14ac:dyDescent="0.3">
      <c r="A10" s="168">
        <v>10</v>
      </c>
      <c r="B10" s="168" t="s">
        <v>596</v>
      </c>
      <c r="C10" s="168" t="s">
        <v>2506</v>
      </c>
      <c r="D10" s="302">
        <v>2.25</v>
      </c>
      <c r="E10" s="168">
        <v>20</v>
      </c>
      <c r="F10" s="168" t="s">
        <v>573</v>
      </c>
      <c r="G10" s="168">
        <v>60</v>
      </c>
      <c r="H10" s="219" t="s">
        <v>573</v>
      </c>
      <c r="I10" s="269" t="s">
        <v>2507</v>
      </c>
      <c r="J10" s="227">
        <f>E10*G10*0.000001</f>
        <v>1.1999999999999999E-3</v>
      </c>
      <c r="K10" s="610">
        <v>4.0000000000000001E-3</v>
      </c>
      <c r="L10" s="219">
        <v>7860</v>
      </c>
      <c r="M10" s="222">
        <v>1</v>
      </c>
      <c r="N10" s="322">
        <f>IF(J10="",D10*M10,D10*J10*K10*L10*M10)</f>
        <v>8.4887999999999991E-2</v>
      </c>
    </row>
    <row r="11" spans="1:15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0" t="s">
        <v>547</v>
      </c>
      <c r="N11" s="751">
        <f>SUM(N10:N10)</f>
        <v>8.4887999999999991E-2</v>
      </c>
      <c r="O11" s="178"/>
    </row>
    <row r="13" spans="1:15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  <c r="O13" s="178"/>
    </row>
    <row r="14" spans="1:15" ht="28.8" x14ac:dyDescent="0.3">
      <c r="A14" s="168">
        <v>10</v>
      </c>
      <c r="B14" s="180" t="s">
        <v>589</v>
      </c>
      <c r="C14" s="193" t="s">
        <v>590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</f>
        <v>1.3</v>
      </c>
      <c r="J14" s="178"/>
      <c r="K14" s="178"/>
      <c r="L14" s="178"/>
      <c r="M14" s="178"/>
      <c r="N14" s="178"/>
      <c r="O14" s="178"/>
    </row>
    <row r="15" spans="1:15" ht="28.8" x14ac:dyDescent="0.3">
      <c r="A15" s="168">
        <v>20</v>
      </c>
      <c r="B15" s="180" t="s">
        <v>591</v>
      </c>
      <c r="C15" s="171" t="s">
        <v>2508</v>
      </c>
      <c r="D15" s="243">
        <v>0.01</v>
      </c>
      <c r="E15" s="168" t="s">
        <v>593</v>
      </c>
      <c r="F15" s="168">
        <v>17</v>
      </c>
      <c r="G15" s="184" t="s">
        <v>598</v>
      </c>
      <c r="H15" s="168">
        <v>3</v>
      </c>
      <c r="I15" s="323">
        <f>D15*F15*H15</f>
        <v>0.51</v>
      </c>
    </row>
    <row r="16" spans="1:15" x14ac:dyDescent="0.3">
      <c r="A16" s="178"/>
      <c r="B16" s="178"/>
      <c r="C16" s="178"/>
      <c r="D16" s="178"/>
      <c r="E16" s="178"/>
      <c r="F16" s="178"/>
      <c r="G16" s="178"/>
      <c r="H16" s="750" t="s">
        <v>547</v>
      </c>
      <c r="I16" s="751">
        <f>I15+I14</f>
        <v>1.81</v>
      </c>
      <c r="J16" s="178"/>
      <c r="K16" s="178"/>
      <c r="L16" s="178"/>
      <c r="M16" s="178"/>
      <c r="N16" s="178"/>
      <c r="O16" s="178"/>
    </row>
    <row r="18" spans="1:15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  <c r="O18" s="161"/>
    </row>
  </sheetData>
  <pageMargins left="0.5" right="0.5" top="0.75" bottom="0.75" header="0.3" footer="0.3"/>
  <pageSetup paperSize="9" scale="69" fitToHeight="0" orientation="landscape"/>
  <headerFooter alignWithMargins="0"/>
</worksheet>
</file>

<file path=xl/worksheets/sheet2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R26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5.4414062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9.44140625" style="16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8" x14ac:dyDescent="0.3">
      <c r="A1" s="747" t="s">
        <v>523</v>
      </c>
      <c r="B1" s="161" t="s">
        <v>524</v>
      </c>
      <c r="J1" s="748" t="s">
        <v>528</v>
      </c>
      <c r="K1" s="163">
        <v>81</v>
      </c>
      <c r="M1" s="747" t="s">
        <v>546</v>
      </c>
      <c r="N1" s="336">
        <f>N11+I20</f>
        <v>5.4080390999999999</v>
      </c>
    </row>
    <row r="2" spans="1:18" x14ac:dyDescent="0.3">
      <c r="A2" s="747" t="s">
        <v>532</v>
      </c>
      <c r="B2" s="161" t="s">
        <v>13</v>
      </c>
      <c r="C2" s="359" t="s">
        <v>732</v>
      </c>
      <c r="D2" s="778" t="s">
        <v>536</v>
      </c>
      <c r="M2" s="747" t="s">
        <v>533</v>
      </c>
      <c r="N2" s="165">
        <v>1</v>
      </c>
    </row>
    <row r="3" spans="1:18" x14ac:dyDescent="0.3">
      <c r="A3" s="747" t="s">
        <v>534</v>
      </c>
      <c r="B3" s="161" t="s">
        <v>363</v>
      </c>
      <c r="D3" s="747" t="s">
        <v>538</v>
      </c>
      <c r="J3" s="747" t="s">
        <v>536</v>
      </c>
    </row>
    <row r="4" spans="1:18" x14ac:dyDescent="0.3">
      <c r="A4" s="747" t="s">
        <v>545</v>
      </c>
      <c r="B4" s="166" t="s">
        <v>367</v>
      </c>
      <c r="D4" s="747" t="s">
        <v>541</v>
      </c>
      <c r="J4" s="747" t="s">
        <v>538</v>
      </c>
      <c r="M4" s="747" t="s">
        <v>539</v>
      </c>
      <c r="N4" s="336">
        <f>N1*N2</f>
        <v>5.4080390999999999</v>
      </c>
    </row>
    <row r="5" spans="1:18" x14ac:dyDescent="0.3">
      <c r="A5" s="747" t="s">
        <v>537</v>
      </c>
      <c r="B5" s="166" t="s">
        <v>366</v>
      </c>
      <c r="J5" s="747" t="s">
        <v>541</v>
      </c>
    </row>
    <row r="6" spans="1:18" x14ac:dyDescent="0.3">
      <c r="A6" s="747" t="s">
        <v>540</v>
      </c>
      <c r="B6" s="161" t="s">
        <v>36</v>
      </c>
    </row>
    <row r="7" spans="1:18" x14ac:dyDescent="0.3">
      <c r="A7" s="747" t="s">
        <v>542</v>
      </c>
    </row>
    <row r="9" spans="1:18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  <c r="O9" s="178"/>
      <c r="P9" s="178"/>
      <c r="Q9" s="178"/>
      <c r="R9" s="178"/>
    </row>
    <row r="10" spans="1:18" ht="43.2" x14ac:dyDescent="0.3">
      <c r="A10" s="168">
        <v>10</v>
      </c>
      <c r="B10" s="168" t="s">
        <v>707</v>
      </c>
      <c r="C10" s="168" t="s">
        <v>2509</v>
      </c>
      <c r="D10" s="302">
        <v>4.2</v>
      </c>
      <c r="E10" s="168">
        <v>18</v>
      </c>
      <c r="F10" s="168" t="s">
        <v>573</v>
      </c>
      <c r="G10" s="168">
        <v>45</v>
      </c>
      <c r="H10" s="219" t="s">
        <v>573</v>
      </c>
      <c r="I10" s="269" t="s">
        <v>2510</v>
      </c>
      <c r="J10" s="227">
        <v>8.0999999999999996E-4</v>
      </c>
      <c r="K10" s="610">
        <v>0.105</v>
      </c>
      <c r="L10" s="219">
        <v>2710</v>
      </c>
      <c r="M10" s="222">
        <v>1</v>
      </c>
      <c r="N10" s="322">
        <f>IF(J10="",D10*M10,D10*J10*K10*L10*M10)</f>
        <v>0.96803910000000004</v>
      </c>
    </row>
    <row r="11" spans="1:18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0.96803910000000004</v>
      </c>
      <c r="O11" s="178"/>
      <c r="P11" s="178"/>
      <c r="Q11" s="178"/>
      <c r="R11" s="178"/>
    </row>
    <row r="13" spans="1:18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  <c r="O13" s="178"/>
      <c r="P13" s="178"/>
      <c r="Q13" s="178"/>
      <c r="R13" s="178"/>
    </row>
    <row r="14" spans="1:18" ht="28.8" x14ac:dyDescent="0.3">
      <c r="A14" s="168">
        <v>10</v>
      </c>
      <c r="B14" s="180" t="s">
        <v>589</v>
      </c>
      <c r="C14" s="193" t="s">
        <v>1635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</f>
        <v>1.3</v>
      </c>
    </row>
    <row r="15" spans="1:18" ht="28.8" x14ac:dyDescent="0.3">
      <c r="A15" s="168">
        <v>20</v>
      </c>
      <c r="B15" s="180" t="s">
        <v>609</v>
      </c>
      <c r="C15" s="184" t="s">
        <v>1636</v>
      </c>
      <c r="D15" s="323">
        <v>0.04</v>
      </c>
      <c r="E15" s="168" t="s">
        <v>610</v>
      </c>
      <c r="F15" s="168">
        <v>31</v>
      </c>
      <c r="G15" s="168" t="s">
        <v>723</v>
      </c>
      <c r="H15" s="168">
        <v>1</v>
      </c>
      <c r="I15" s="322">
        <f>F15*D15</f>
        <v>1.24</v>
      </c>
    </row>
    <row r="16" spans="1:18" x14ac:dyDescent="0.3">
      <c r="A16" s="168">
        <v>30</v>
      </c>
      <c r="B16" s="171" t="s">
        <v>1612</v>
      </c>
      <c r="C16" s="171" t="s">
        <v>2511</v>
      </c>
      <c r="D16" s="243">
        <v>0.35</v>
      </c>
      <c r="E16" s="168" t="s">
        <v>843</v>
      </c>
      <c r="F16" s="168">
        <v>2</v>
      </c>
      <c r="G16" s="168"/>
      <c r="H16" s="168"/>
      <c r="I16" s="323">
        <f>F16*D16</f>
        <v>0.7</v>
      </c>
    </row>
    <row r="17" spans="1:18" x14ac:dyDescent="0.3">
      <c r="A17" s="168">
        <v>40</v>
      </c>
      <c r="B17" s="180" t="s">
        <v>785</v>
      </c>
      <c r="C17" s="168" t="s">
        <v>2512</v>
      </c>
      <c r="D17" s="323">
        <v>0.65</v>
      </c>
      <c r="E17" s="168" t="s">
        <v>556</v>
      </c>
      <c r="F17" s="168">
        <v>1</v>
      </c>
      <c r="G17" s="168"/>
      <c r="H17" s="168"/>
      <c r="I17" s="323">
        <f>F17*D17</f>
        <v>0.65</v>
      </c>
    </row>
    <row r="18" spans="1:18" ht="28.8" x14ac:dyDescent="0.3">
      <c r="A18" s="168">
        <v>50</v>
      </c>
      <c r="B18" s="180" t="s">
        <v>609</v>
      </c>
      <c r="C18" s="184" t="s">
        <v>1636</v>
      </c>
      <c r="D18" s="323">
        <v>0.04</v>
      </c>
      <c r="E18" s="168" t="s">
        <v>610</v>
      </c>
      <c r="F18" s="168">
        <v>5</v>
      </c>
      <c r="G18" s="168" t="s">
        <v>723</v>
      </c>
      <c r="H18" s="168">
        <v>1</v>
      </c>
      <c r="I18" s="322">
        <f>F18*D18</f>
        <v>0.2</v>
      </c>
    </row>
    <row r="19" spans="1:18" ht="28.8" x14ac:dyDescent="0.3">
      <c r="A19" s="168">
        <v>60</v>
      </c>
      <c r="B19" s="171" t="s">
        <v>1623</v>
      </c>
      <c r="C19" s="193" t="s">
        <v>2513</v>
      </c>
      <c r="D19" s="243">
        <v>0.35</v>
      </c>
      <c r="E19" s="168" t="s">
        <v>843</v>
      </c>
      <c r="F19" s="168">
        <v>1</v>
      </c>
      <c r="G19" s="168"/>
      <c r="H19" s="168"/>
      <c r="I19" s="323">
        <f>D19</f>
        <v>0.35</v>
      </c>
    </row>
    <row r="20" spans="1:18" x14ac:dyDescent="0.3">
      <c r="A20" s="178"/>
      <c r="B20" s="178"/>
      <c r="C20" s="178"/>
      <c r="D20" s="178"/>
      <c r="E20" s="178"/>
      <c r="F20" s="178"/>
      <c r="G20" s="178"/>
      <c r="H20" s="750" t="s">
        <v>547</v>
      </c>
      <c r="I20" s="751">
        <f>SUM(I14:I19)</f>
        <v>4.4399999999999995</v>
      </c>
      <c r="J20" s="178"/>
      <c r="K20" s="178"/>
      <c r="L20" s="178"/>
      <c r="M20" s="178"/>
      <c r="N20" s="178"/>
      <c r="O20" s="178"/>
      <c r="P20" s="178"/>
      <c r="Q20" s="178"/>
      <c r="R20" s="178"/>
    </row>
    <row r="22" spans="1:18" s="178" customFormat="1" x14ac:dyDescent="0.3">
      <c r="A22" s="161"/>
      <c r="B22" s="161"/>
      <c r="C22" s="161"/>
      <c r="D22" s="161"/>
      <c r="E22" s="161"/>
      <c r="F22" s="161"/>
      <c r="G22" s="161"/>
      <c r="H22" s="161"/>
      <c r="I22" s="161"/>
      <c r="J22" s="161"/>
      <c r="K22" s="161"/>
      <c r="L22" s="161"/>
      <c r="M22" s="161"/>
      <c r="N22" s="161"/>
      <c r="P22" s="161"/>
      <c r="Q22" s="161"/>
      <c r="R22" s="161"/>
    </row>
    <row r="24" spans="1:18" s="178" customFormat="1" x14ac:dyDescent="0.3">
      <c r="A24" s="161"/>
      <c r="B24" s="161"/>
      <c r="C24" s="161"/>
      <c r="D24" s="161"/>
      <c r="E24" s="161"/>
      <c r="F24" s="161"/>
      <c r="G24" s="161"/>
      <c r="H24" s="161"/>
      <c r="I24" s="161"/>
      <c r="J24" s="161"/>
      <c r="K24" s="161"/>
      <c r="L24" s="161"/>
      <c r="M24" s="161"/>
      <c r="N24" s="161"/>
      <c r="O24" s="161"/>
      <c r="P24" s="161"/>
      <c r="Q24" s="161"/>
      <c r="R24" s="161"/>
    </row>
    <row r="26" spans="1:18" s="178" customFormat="1" x14ac:dyDescent="0.3">
      <c r="A26" s="161"/>
      <c r="B26" s="161"/>
      <c r="C26" s="161"/>
      <c r="D26" s="161"/>
      <c r="E26" s="161"/>
      <c r="F26" s="161"/>
      <c r="G26" s="161"/>
      <c r="H26" s="161"/>
      <c r="I26" s="161"/>
      <c r="J26" s="161"/>
      <c r="K26" s="161"/>
      <c r="L26" s="161"/>
      <c r="M26" s="161"/>
      <c r="N26" s="161"/>
      <c r="O26" s="161"/>
      <c r="P26" s="161"/>
      <c r="Q26" s="161"/>
      <c r="R26" s="161"/>
    </row>
  </sheetData>
  <hyperlinks>
    <hyperlink ref="D2" location="'Steering column mount drawing'!A1" display="FileLink1"/>
  </hyperlinks>
  <pageMargins left="0.5" right="0.5" top="0.75" bottom="0.75" header="0.3" footer="0.3"/>
  <pageSetup paperSize="9" scale="64" fitToHeight="0" orientation="landscape" r:id="rId1"/>
  <headerFooter alignWithMargins="0"/>
</worksheet>
</file>

<file path=xl/worksheets/sheet2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P22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5.4414062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2" style="16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2.77734375" style="161" customWidth="1"/>
    <col min="14" max="14" width="11.6640625" style="161" customWidth="1"/>
    <col min="15" max="16384" width="9.109375" style="161"/>
  </cols>
  <sheetData>
    <row r="1" spans="1:15" x14ac:dyDescent="0.3">
      <c r="A1" s="747" t="s">
        <v>523</v>
      </c>
      <c r="B1" s="161" t="s">
        <v>524</v>
      </c>
      <c r="J1" s="748" t="s">
        <v>528</v>
      </c>
      <c r="K1" s="163">
        <v>81</v>
      </c>
      <c r="M1" s="747" t="s">
        <v>546</v>
      </c>
      <c r="N1" s="336">
        <f>N11+I16</f>
        <v>1.4710729999999999</v>
      </c>
    </row>
    <row r="2" spans="1:15" x14ac:dyDescent="0.3">
      <c r="A2" s="747" t="s">
        <v>532</v>
      </c>
      <c r="B2" s="161" t="s">
        <v>13</v>
      </c>
      <c r="D2" s="747" t="s">
        <v>536</v>
      </c>
      <c r="M2" s="747" t="s">
        <v>533</v>
      </c>
      <c r="N2" s="165">
        <v>1</v>
      </c>
    </row>
    <row r="3" spans="1:15" x14ac:dyDescent="0.3">
      <c r="A3" s="747" t="s">
        <v>534</v>
      </c>
      <c r="B3" s="161" t="s">
        <v>363</v>
      </c>
      <c r="D3" s="747" t="s">
        <v>538</v>
      </c>
      <c r="J3" s="747" t="s">
        <v>536</v>
      </c>
    </row>
    <row r="4" spans="1:15" x14ac:dyDescent="0.3">
      <c r="A4" s="747" t="s">
        <v>545</v>
      </c>
      <c r="B4" s="166" t="s">
        <v>2514</v>
      </c>
      <c r="D4" s="747" t="s">
        <v>541</v>
      </c>
      <c r="J4" s="747" t="s">
        <v>538</v>
      </c>
      <c r="M4" s="747" t="s">
        <v>539</v>
      </c>
      <c r="N4" s="336">
        <f>N1*N2</f>
        <v>1.4710729999999999</v>
      </c>
    </row>
    <row r="5" spans="1:15" x14ac:dyDescent="0.3">
      <c r="A5" s="747" t="s">
        <v>537</v>
      </c>
      <c r="B5" s="166" t="s">
        <v>368</v>
      </c>
      <c r="J5" s="747" t="s">
        <v>541</v>
      </c>
    </row>
    <row r="6" spans="1:15" x14ac:dyDescent="0.3">
      <c r="A6" s="747" t="s">
        <v>540</v>
      </c>
      <c r="B6" s="161" t="s">
        <v>36</v>
      </c>
    </row>
    <row r="7" spans="1:15" x14ac:dyDescent="0.3">
      <c r="A7" s="747" t="s">
        <v>542</v>
      </c>
    </row>
    <row r="9" spans="1:15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  <c r="O9" s="178"/>
    </row>
    <row r="10" spans="1:15" ht="43.2" x14ac:dyDescent="0.3">
      <c r="A10" s="168">
        <v>10</v>
      </c>
      <c r="B10" s="168" t="s">
        <v>1032</v>
      </c>
      <c r="C10" s="168" t="s">
        <v>2515</v>
      </c>
      <c r="D10" s="302">
        <v>4.2</v>
      </c>
      <c r="E10" s="168">
        <v>20</v>
      </c>
      <c r="F10" s="168" t="s">
        <v>573</v>
      </c>
      <c r="G10" s="168">
        <v>50</v>
      </c>
      <c r="H10" s="219" t="s">
        <v>573</v>
      </c>
      <c r="I10" s="269" t="s">
        <v>2516</v>
      </c>
      <c r="J10" s="227">
        <f>E10*G10*0.000001</f>
        <v>1E-3</v>
      </c>
      <c r="K10" s="610">
        <v>1.5E-3</v>
      </c>
      <c r="L10" s="219">
        <v>2710</v>
      </c>
      <c r="M10" s="222">
        <v>1</v>
      </c>
      <c r="N10" s="322">
        <f>IF(J10="",D10*M10,D10*J10*K10*L10*M10)</f>
        <v>1.7073000000000001E-2</v>
      </c>
    </row>
    <row r="11" spans="1:15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1.7073000000000001E-2</v>
      </c>
      <c r="O11" s="178"/>
    </row>
    <row r="13" spans="1:15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  <c r="O13" s="178"/>
    </row>
    <row r="14" spans="1:15" ht="28.8" x14ac:dyDescent="0.3">
      <c r="A14" s="168">
        <v>10</v>
      </c>
      <c r="B14" s="180" t="s">
        <v>589</v>
      </c>
      <c r="C14" s="193" t="s">
        <v>590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</f>
        <v>1.3</v>
      </c>
    </row>
    <row r="15" spans="1:15" ht="28.8" x14ac:dyDescent="0.3">
      <c r="A15" s="168">
        <v>20</v>
      </c>
      <c r="B15" s="180" t="s">
        <v>591</v>
      </c>
      <c r="C15" s="171" t="s">
        <v>2508</v>
      </c>
      <c r="D15" s="243">
        <v>0.01</v>
      </c>
      <c r="E15" s="168" t="s">
        <v>593</v>
      </c>
      <c r="F15" s="168">
        <v>15.4</v>
      </c>
      <c r="G15" s="184" t="s">
        <v>710</v>
      </c>
      <c r="H15" s="168">
        <v>1</v>
      </c>
      <c r="I15" s="323">
        <f>D15*F15</f>
        <v>0.154</v>
      </c>
      <c r="J15" s="178"/>
      <c r="K15" s="178"/>
      <c r="L15" s="178"/>
      <c r="M15" s="178"/>
      <c r="N15" s="178"/>
      <c r="O15" s="178"/>
    </row>
    <row r="16" spans="1:15" x14ac:dyDescent="0.3">
      <c r="A16" s="178"/>
      <c r="B16" s="178"/>
      <c r="C16" s="178"/>
      <c r="D16" s="178"/>
      <c r="E16" s="178"/>
      <c r="F16" s="178"/>
      <c r="G16" s="178"/>
      <c r="H16" s="752" t="s">
        <v>547</v>
      </c>
      <c r="I16" s="753">
        <f>SUM(I14:I15)</f>
        <v>1.454</v>
      </c>
    </row>
    <row r="18" spans="1:16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  <c r="O18" s="161"/>
      <c r="P18" s="161"/>
    </row>
    <row r="21" spans="1:16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</row>
    <row r="22" spans="1:16" x14ac:dyDescent="0.3">
      <c r="A22" s="178"/>
      <c r="B22" s="178"/>
      <c r="C22" s="178"/>
      <c r="D22" s="178"/>
      <c r="E22" s="178"/>
      <c r="F22" s="178"/>
      <c r="G22" s="178"/>
      <c r="H22" s="178"/>
      <c r="I22" s="178"/>
    </row>
  </sheetData>
  <pageMargins left="0.5" right="0.5" top="0.75" bottom="0.75" header="0.3" footer="0.3"/>
  <pageSetup paperSize="9" scale="67" orientation="landscape"/>
  <headerFooter alignWithMargins="0"/>
</worksheet>
</file>

<file path=xl/worksheets/sheet2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P23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5.4414062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20.6640625" style="16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77734375" style="161" bestFit="1" customWidth="1"/>
    <col min="14" max="14" width="11.6640625" style="161" customWidth="1"/>
    <col min="15" max="16384" width="9.109375" style="161"/>
  </cols>
  <sheetData>
    <row r="1" spans="1:15" x14ac:dyDescent="0.3">
      <c r="A1" s="747" t="s">
        <v>523</v>
      </c>
      <c r="B1" s="161" t="s">
        <v>524</v>
      </c>
      <c r="J1" s="748" t="s">
        <v>528</v>
      </c>
      <c r="K1" s="163">
        <v>81</v>
      </c>
      <c r="M1" s="747" t="s">
        <v>546</v>
      </c>
      <c r="N1" s="336">
        <f>N11+I17</f>
        <v>2.0922912999999999</v>
      </c>
    </row>
    <row r="2" spans="1:15" x14ac:dyDescent="0.3">
      <c r="A2" s="747" t="s">
        <v>532</v>
      </c>
      <c r="B2" s="161" t="s">
        <v>13</v>
      </c>
      <c r="D2" s="747" t="s">
        <v>536</v>
      </c>
      <c r="M2" s="747" t="s">
        <v>533</v>
      </c>
      <c r="N2" s="165">
        <v>1</v>
      </c>
    </row>
    <row r="3" spans="1:15" x14ac:dyDescent="0.3">
      <c r="A3" s="747" t="s">
        <v>534</v>
      </c>
      <c r="B3" s="161" t="s">
        <v>363</v>
      </c>
      <c r="D3" s="747" t="s">
        <v>538</v>
      </c>
      <c r="J3" s="747" t="s">
        <v>536</v>
      </c>
    </row>
    <row r="4" spans="1:15" x14ac:dyDescent="0.3">
      <c r="A4" s="747" t="s">
        <v>545</v>
      </c>
      <c r="B4" s="166" t="s">
        <v>2467</v>
      </c>
      <c r="D4" s="747" t="s">
        <v>541</v>
      </c>
      <c r="J4" s="747" t="s">
        <v>538</v>
      </c>
      <c r="M4" s="747" t="s">
        <v>539</v>
      </c>
      <c r="N4" s="336">
        <f>N1*N2</f>
        <v>2.0922912999999999</v>
      </c>
    </row>
    <row r="5" spans="1:15" x14ac:dyDescent="0.3">
      <c r="A5" s="747" t="s">
        <v>537</v>
      </c>
      <c r="B5" s="166" t="s">
        <v>370</v>
      </c>
      <c r="J5" s="747" t="s">
        <v>541</v>
      </c>
    </row>
    <row r="6" spans="1:15" x14ac:dyDescent="0.3">
      <c r="A6" s="747" t="s">
        <v>540</v>
      </c>
      <c r="B6" s="161" t="s">
        <v>36</v>
      </c>
    </row>
    <row r="7" spans="1:15" x14ac:dyDescent="0.3">
      <c r="A7" s="747" t="s">
        <v>542</v>
      </c>
      <c r="B7" s="161" t="s">
        <v>2517</v>
      </c>
    </row>
    <row r="9" spans="1:15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  <c r="O9" s="178"/>
    </row>
    <row r="10" spans="1:15" ht="43.2" x14ac:dyDescent="0.3">
      <c r="A10" s="168">
        <v>10</v>
      </c>
      <c r="B10" s="168" t="s">
        <v>1032</v>
      </c>
      <c r="C10" s="168" t="s">
        <v>2518</v>
      </c>
      <c r="D10" s="302">
        <v>4.2</v>
      </c>
      <c r="E10" s="168">
        <v>90</v>
      </c>
      <c r="F10" s="168" t="s">
        <v>573</v>
      </c>
      <c r="G10" s="168">
        <v>90</v>
      </c>
      <c r="H10" s="219" t="s">
        <v>573</v>
      </c>
      <c r="I10" s="269" t="s">
        <v>2519</v>
      </c>
      <c r="J10" s="227">
        <f>E10*G10*0.000001</f>
        <v>8.0999999999999996E-3</v>
      </c>
      <c r="K10" s="610">
        <v>1.5E-3</v>
      </c>
      <c r="L10" s="219">
        <v>2710</v>
      </c>
      <c r="M10" s="222">
        <v>1</v>
      </c>
      <c r="N10" s="322">
        <f>IF(J10="",D10*M10,D10*J10*K10*L10*M10)</f>
        <v>0.13829130000000001</v>
      </c>
    </row>
    <row r="11" spans="1:15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0" t="s">
        <v>547</v>
      </c>
      <c r="N11" s="751">
        <f>SUM(N10:N10)</f>
        <v>0.13829130000000001</v>
      </c>
      <c r="O11" s="178"/>
    </row>
    <row r="13" spans="1:15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  <c r="O13" s="178"/>
    </row>
    <row r="14" spans="1:15" ht="28.8" x14ac:dyDescent="0.3">
      <c r="A14" s="168">
        <v>10</v>
      </c>
      <c r="B14" s="180" t="s">
        <v>589</v>
      </c>
      <c r="C14" s="171" t="s">
        <v>590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</f>
        <v>1.3</v>
      </c>
    </row>
    <row r="15" spans="1:15" x14ac:dyDescent="0.3">
      <c r="A15" s="168">
        <v>20</v>
      </c>
      <c r="B15" s="180" t="s">
        <v>591</v>
      </c>
      <c r="C15" s="171" t="s">
        <v>2508</v>
      </c>
      <c r="D15" s="243">
        <v>0.01</v>
      </c>
      <c r="E15" s="168" t="s">
        <v>593</v>
      </c>
      <c r="F15" s="168">
        <v>15.4</v>
      </c>
      <c r="G15" s="168" t="s">
        <v>710</v>
      </c>
      <c r="H15" s="168">
        <v>1</v>
      </c>
      <c r="I15" s="323">
        <f>D15*F15</f>
        <v>0.154</v>
      </c>
    </row>
    <row r="16" spans="1:15" customFormat="1" x14ac:dyDescent="0.3">
      <c r="A16" s="168">
        <v>30</v>
      </c>
      <c r="B16" s="180" t="s">
        <v>702</v>
      </c>
      <c r="C16" s="183" t="s">
        <v>703</v>
      </c>
      <c r="D16" s="170">
        <v>0.25</v>
      </c>
      <c r="E16" s="168" t="s">
        <v>704</v>
      </c>
      <c r="F16" s="168">
        <v>2</v>
      </c>
      <c r="G16" s="168"/>
      <c r="H16" s="168"/>
      <c r="I16" s="170">
        <f>F16*D16</f>
        <v>0.5</v>
      </c>
      <c r="J16" s="161"/>
      <c r="K16" s="161"/>
      <c r="L16" s="161"/>
      <c r="M16" s="161"/>
      <c r="N16" s="161"/>
    </row>
    <row r="17" spans="1:16" x14ac:dyDescent="0.3">
      <c r="A17" s="178"/>
      <c r="B17" s="178"/>
      <c r="C17" s="178"/>
      <c r="D17" s="178"/>
      <c r="E17" s="178"/>
      <c r="F17" s="178"/>
      <c r="G17" s="178"/>
      <c r="H17" s="752" t="s">
        <v>547</v>
      </c>
      <c r="I17" s="753">
        <f>SUM(I14:I16)</f>
        <v>1.954</v>
      </c>
      <c r="J17" s="178"/>
      <c r="K17" s="178"/>
      <c r="L17" s="178"/>
      <c r="M17" s="178"/>
      <c r="N17" s="178"/>
      <c r="O17" s="178"/>
    </row>
    <row r="20" spans="1:16" s="178" customFormat="1" x14ac:dyDescent="0.3">
      <c r="A20" s="161"/>
      <c r="B20" s="161"/>
      <c r="C20" s="161"/>
      <c r="D20" s="161"/>
      <c r="E20" s="161"/>
      <c r="F20" s="161"/>
      <c r="G20" s="161"/>
      <c r="H20" s="161"/>
      <c r="I20" s="161"/>
      <c r="J20" s="161"/>
      <c r="K20" s="161"/>
      <c r="L20" s="161"/>
      <c r="M20" s="161"/>
      <c r="N20" s="161"/>
      <c r="O20" s="161"/>
      <c r="P20" s="161"/>
    </row>
    <row r="23" spans="1:16" s="178" customFormat="1" x14ac:dyDescent="0.3"/>
  </sheetData>
  <pageMargins left="0.5" right="0.5" top="0.75" bottom="0.75" header="0.3" footer="0.3"/>
  <pageSetup paperSize="9" scale="64" fitToHeight="0" orientation="landscape"/>
  <headerFooter alignWithMargins="0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N107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37.33203125" style="161" bestFit="1" customWidth="1"/>
    <col min="3" max="3" width="37.6640625" style="161" customWidth="1"/>
    <col min="4" max="4" width="11" style="161" bestFit="1" customWidth="1"/>
    <col min="5" max="5" width="11.44140625" style="161" customWidth="1"/>
    <col min="6" max="6" width="9.6640625" style="161" customWidth="1"/>
    <col min="7" max="7" width="9.109375" style="161" customWidth="1"/>
    <col min="8" max="8" width="18.88671875" style="16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7.33203125" style="161" customWidth="1"/>
    <col min="14" max="14" width="11.6640625" style="161" customWidth="1"/>
    <col min="15" max="15" width="9.33203125" style="161" customWidth="1"/>
    <col min="16" max="16384" width="9.109375" style="161"/>
  </cols>
  <sheetData>
    <row r="1" spans="1:14" x14ac:dyDescent="0.3">
      <c r="A1" s="335" t="s">
        <v>523</v>
      </c>
      <c r="B1" s="161" t="s">
        <v>524</v>
      </c>
      <c r="J1" s="335" t="s">
        <v>528</v>
      </c>
      <c r="K1" s="163">
        <v>81</v>
      </c>
      <c r="M1" s="335" t="s">
        <v>531</v>
      </c>
      <c r="N1" s="336">
        <f>E18+N24+I47+J57+I61</f>
        <v>1706.6820914669001</v>
      </c>
    </row>
    <row r="2" spans="1:14" x14ac:dyDescent="0.3">
      <c r="A2" s="335" t="s">
        <v>532</v>
      </c>
      <c r="B2" s="161" t="s">
        <v>780</v>
      </c>
      <c r="M2" s="335" t="s">
        <v>533</v>
      </c>
      <c r="N2" s="165">
        <v>1</v>
      </c>
    </row>
    <row r="3" spans="1:14" x14ac:dyDescent="0.3">
      <c r="A3" s="335" t="s">
        <v>534</v>
      </c>
      <c r="B3" s="161" t="s">
        <v>68</v>
      </c>
      <c r="J3" s="335" t="s">
        <v>536</v>
      </c>
    </row>
    <row r="4" spans="1:14" x14ac:dyDescent="0.3">
      <c r="A4" s="335" t="s">
        <v>537</v>
      </c>
      <c r="B4" s="166" t="s">
        <v>67</v>
      </c>
      <c r="J4" s="335" t="s">
        <v>538</v>
      </c>
      <c r="M4" s="335" t="s">
        <v>539</v>
      </c>
      <c r="N4" s="336">
        <f>N1*N2</f>
        <v>1706.6820914669001</v>
      </c>
    </row>
    <row r="5" spans="1:14" x14ac:dyDescent="0.3">
      <c r="A5" s="335" t="s">
        <v>540</v>
      </c>
      <c r="B5" s="161" t="s">
        <v>36</v>
      </c>
      <c r="J5" s="335" t="s">
        <v>541</v>
      </c>
    </row>
    <row r="6" spans="1:14" x14ac:dyDescent="0.3">
      <c r="A6" s="335" t="s">
        <v>542</v>
      </c>
      <c r="B6" s="334"/>
    </row>
    <row r="8" spans="1:14" x14ac:dyDescent="0.3">
      <c r="A8" s="324" t="s">
        <v>544</v>
      </c>
      <c r="B8" s="324" t="s">
        <v>545</v>
      </c>
      <c r="C8" s="324" t="s">
        <v>546</v>
      </c>
      <c r="D8" s="324" t="s">
        <v>28</v>
      </c>
      <c r="E8" s="324" t="s">
        <v>547</v>
      </c>
    </row>
    <row r="9" spans="1:14" x14ac:dyDescent="0.3">
      <c r="A9" s="168">
        <v>10</v>
      </c>
      <c r="B9" s="168" t="s">
        <v>779</v>
      </c>
      <c r="C9" s="323">
        <f>'EN 01001'!N4</f>
        <v>1500</v>
      </c>
      <c r="D9" s="215">
        <v>1</v>
      </c>
      <c r="E9" s="323">
        <f t="shared" ref="E9:E17" si="0">C9*D9</f>
        <v>1500</v>
      </c>
    </row>
    <row r="10" spans="1:14" x14ac:dyDescent="0.3">
      <c r="A10" s="168">
        <v>20</v>
      </c>
      <c r="B10" s="161" t="s">
        <v>778</v>
      </c>
      <c r="C10" s="323">
        <f>'EN 01002'!N1</f>
        <v>8.0453159999999997</v>
      </c>
      <c r="D10" s="215">
        <v>2</v>
      </c>
      <c r="E10" s="323">
        <f t="shared" si="0"/>
        <v>16.090631999999999</v>
      </c>
    </row>
    <row r="11" spans="1:14" x14ac:dyDescent="0.3">
      <c r="A11" s="168">
        <v>30</v>
      </c>
      <c r="B11" s="168" t="s">
        <v>777</v>
      </c>
      <c r="C11" s="323">
        <f>'EN 01003'!N1</f>
        <v>4.1617462582</v>
      </c>
      <c r="D11" s="215">
        <v>1</v>
      </c>
      <c r="E11" s="323">
        <f t="shared" si="0"/>
        <v>4.1617462582</v>
      </c>
    </row>
    <row r="12" spans="1:14" x14ac:dyDescent="0.3">
      <c r="A12" s="168">
        <v>40</v>
      </c>
      <c r="B12" s="168" t="s">
        <v>776</v>
      </c>
      <c r="C12" s="323">
        <f>'EN 01004'!N1</f>
        <v>9.8042250400000004</v>
      </c>
      <c r="D12" s="215">
        <v>2</v>
      </c>
      <c r="E12" s="323">
        <f t="shared" si="0"/>
        <v>19.608450080000001</v>
      </c>
    </row>
    <row r="13" spans="1:14" x14ac:dyDescent="0.3">
      <c r="A13" s="168">
        <v>50</v>
      </c>
      <c r="B13" s="168" t="s">
        <v>775</v>
      </c>
      <c r="C13" s="323">
        <f>'EN 01005'!N1</f>
        <v>9.1639647999999987</v>
      </c>
      <c r="D13" s="215">
        <v>2</v>
      </c>
      <c r="E13" s="323">
        <f t="shared" si="0"/>
        <v>18.327929599999997</v>
      </c>
    </row>
    <row r="14" spans="1:14" x14ac:dyDescent="0.3">
      <c r="A14" s="168">
        <v>60</v>
      </c>
      <c r="B14" s="168" t="s">
        <v>774</v>
      </c>
      <c r="C14" s="323">
        <f>'EN 01006'!N4</f>
        <v>3.5073259762000002</v>
      </c>
      <c r="D14" s="215">
        <v>1</v>
      </c>
      <c r="E14" s="323">
        <f t="shared" si="0"/>
        <v>3.5073259762000002</v>
      </c>
    </row>
    <row r="15" spans="1:14" x14ac:dyDescent="0.3">
      <c r="A15" s="168">
        <v>70</v>
      </c>
      <c r="B15" s="168" t="s">
        <v>773</v>
      </c>
      <c r="C15" s="323">
        <f>'EN 01007'!N1</f>
        <v>2.3659143762500001</v>
      </c>
      <c r="D15" s="215">
        <v>2</v>
      </c>
      <c r="E15" s="323">
        <f t="shared" si="0"/>
        <v>4.7318287525000002</v>
      </c>
    </row>
    <row r="16" spans="1:14" x14ac:dyDescent="0.3">
      <c r="A16" s="168">
        <v>80</v>
      </c>
      <c r="B16" s="168" t="s">
        <v>78</v>
      </c>
      <c r="C16" s="323">
        <f>'EN 01008'!N1</f>
        <v>0.760764</v>
      </c>
      <c r="D16" s="215">
        <v>2</v>
      </c>
      <c r="E16" s="323">
        <f t="shared" si="0"/>
        <v>1.521528</v>
      </c>
    </row>
    <row r="17" spans="1:14" x14ac:dyDescent="0.3">
      <c r="A17" s="168">
        <v>90</v>
      </c>
      <c r="B17" s="168" t="s">
        <v>772</v>
      </c>
      <c r="C17" s="323">
        <f>'EN 01009'!N1</f>
        <v>3.2719504000000001</v>
      </c>
      <c r="D17" s="215">
        <v>2</v>
      </c>
      <c r="E17" s="323">
        <f t="shared" si="0"/>
        <v>6.5439008000000003</v>
      </c>
    </row>
    <row r="18" spans="1:14" x14ac:dyDescent="0.3">
      <c r="D18" s="321" t="s">
        <v>547</v>
      </c>
      <c r="E18" s="320">
        <f>SUM(E9:E17)</f>
        <v>1574.4933414669001</v>
      </c>
    </row>
    <row r="20" spans="1:14" x14ac:dyDescent="0.3">
      <c r="A20" s="324" t="s">
        <v>544</v>
      </c>
      <c r="B20" s="324" t="s">
        <v>581</v>
      </c>
      <c r="C20" s="324" t="s">
        <v>549</v>
      </c>
      <c r="D20" s="324" t="s">
        <v>550</v>
      </c>
      <c r="E20" s="324" t="s">
        <v>567</v>
      </c>
      <c r="F20" s="324" t="s">
        <v>568</v>
      </c>
      <c r="G20" s="324" t="s">
        <v>569</v>
      </c>
      <c r="H20" s="324" t="s">
        <v>570</v>
      </c>
      <c r="I20" s="324" t="s">
        <v>582</v>
      </c>
      <c r="J20" s="324" t="s">
        <v>583</v>
      </c>
      <c r="K20" s="324" t="s">
        <v>584</v>
      </c>
      <c r="L20" s="324" t="s">
        <v>585</v>
      </c>
      <c r="M20" s="324" t="s">
        <v>28</v>
      </c>
      <c r="N20" s="324" t="s">
        <v>547</v>
      </c>
    </row>
    <row r="21" spans="1:14" x14ac:dyDescent="0.3">
      <c r="A21" s="168">
        <v>10</v>
      </c>
      <c r="B21" s="168" t="s">
        <v>771</v>
      </c>
      <c r="C21" s="168" t="s">
        <v>770</v>
      </c>
      <c r="D21" s="323">
        <v>0.75</v>
      </c>
      <c r="E21" s="168">
        <v>4</v>
      </c>
      <c r="F21" s="168" t="s">
        <v>769</v>
      </c>
      <c r="G21" s="168"/>
      <c r="H21" s="219"/>
      <c r="I21" s="220"/>
      <c r="J21" s="221"/>
      <c r="K21" s="219"/>
      <c r="L21" s="219"/>
      <c r="M21" s="332">
        <v>4</v>
      </c>
      <c r="N21" s="322">
        <f>IF(J21="",D21*M21,D21*J21*K21*L21*M21)</f>
        <v>3</v>
      </c>
    </row>
    <row r="22" spans="1:14" ht="15" customHeight="1" x14ac:dyDescent="0.3">
      <c r="A22" s="168">
        <v>20</v>
      </c>
      <c r="B22" s="225" t="s">
        <v>768</v>
      </c>
      <c r="C22" s="168" t="s">
        <v>767</v>
      </c>
      <c r="D22" s="323">
        <f>0.27*25</f>
        <v>6.75</v>
      </c>
      <c r="E22" s="168">
        <v>25</v>
      </c>
      <c r="F22" s="168" t="s">
        <v>573</v>
      </c>
      <c r="G22" s="168"/>
      <c r="H22" s="219"/>
      <c r="I22" s="331"/>
      <c r="J22" s="221"/>
      <c r="K22" s="219"/>
      <c r="L22" s="227"/>
      <c r="M22" s="332">
        <v>6</v>
      </c>
      <c r="N22" s="322">
        <f>IF(J22="",D22*M22,D22*J22*K22*L22*M22)</f>
        <v>40.5</v>
      </c>
    </row>
    <row r="23" spans="1:14" ht="15" customHeight="1" x14ac:dyDescent="0.3">
      <c r="A23" s="168">
        <v>30</v>
      </c>
      <c r="B23" s="225" t="s">
        <v>625</v>
      </c>
      <c r="C23" s="168" t="s">
        <v>761</v>
      </c>
      <c r="D23" s="323">
        <v>10</v>
      </c>
      <c r="E23" s="168">
        <v>3.5000000000000003E-2</v>
      </c>
      <c r="F23" s="168" t="s">
        <v>627</v>
      </c>
      <c r="G23" s="168"/>
      <c r="H23" s="219"/>
      <c r="I23" s="331"/>
      <c r="J23" s="221"/>
      <c r="K23" s="219"/>
      <c r="L23" s="227"/>
      <c r="M23" s="228">
        <v>3.5000000000000003E-2</v>
      </c>
      <c r="N23" s="322">
        <f>IF(J23="",D23*M23,D23*J23*K23*L23*M23)</f>
        <v>0.35000000000000003</v>
      </c>
    </row>
    <row r="24" spans="1:14" s="178" customFormat="1" x14ac:dyDescent="0.3">
      <c r="M24" s="321" t="s">
        <v>547</v>
      </c>
      <c r="N24" s="320">
        <f>SUM(N21:N23)</f>
        <v>43.85</v>
      </c>
    </row>
    <row r="26" spans="1:14" s="178" customFormat="1" x14ac:dyDescent="0.3">
      <c r="A26" s="324" t="s">
        <v>544</v>
      </c>
      <c r="B26" s="324" t="s">
        <v>548</v>
      </c>
      <c r="C26" s="324" t="s">
        <v>549</v>
      </c>
      <c r="D26" s="324" t="s">
        <v>550</v>
      </c>
      <c r="E26" s="324" t="s">
        <v>551</v>
      </c>
      <c r="F26" s="324" t="s">
        <v>28</v>
      </c>
      <c r="G26" s="324" t="s">
        <v>552</v>
      </c>
      <c r="H26" s="324" t="s">
        <v>553</v>
      </c>
      <c r="I26" s="324" t="s">
        <v>547</v>
      </c>
    </row>
    <row r="27" spans="1:14" x14ac:dyDescent="0.3">
      <c r="A27" s="168">
        <v>10</v>
      </c>
      <c r="B27" s="171" t="s">
        <v>764</v>
      </c>
      <c r="C27" s="171" t="s">
        <v>766</v>
      </c>
      <c r="D27" s="323">
        <v>0.15</v>
      </c>
      <c r="E27" s="168" t="s">
        <v>593</v>
      </c>
      <c r="F27" s="168">
        <v>35</v>
      </c>
      <c r="G27" s="168"/>
      <c r="H27" s="168"/>
      <c r="I27" s="323">
        <f t="shared" ref="I27:I46" si="1">D27*F27</f>
        <v>5.25</v>
      </c>
    </row>
    <row r="28" spans="1:14" x14ac:dyDescent="0.3">
      <c r="A28" s="168">
        <v>20</v>
      </c>
      <c r="B28" s="171" t="s">
        <v>764</v>
      </c>
      <c r="C28" s="171" t="s">
        <v>765</v>
      </c>
      <c r="D28" s="323">
        <v>0.15</v>
      </c>
      <c r="E28" s="168" t="s">
        <v>593</v>
      </c>
      <c r="F28" s="168">
        <v>32</v>
      </c>
      <c r="G28" s="168"/>
      <c r="H28" s="168"/>
      <c r="I28" s="323">
        <f t="shared" si="1"/>
        <v>4.8</v>
      </c>
    </row>
    <row r="29" spans="1:14" x14ac:dyDescent="0.3">
      <c r="A29" s="168">
        <v>30</v>
      </c>
      <c r="B29" s="171" t="s">
        <v>764</v>
      </c>
      <c r="C29" s="171" t="s">
        <v>763</v>
      </c>
      <c r="D29" s="323">
        <v>0.15</v>
      </c>
      <c r="E29" s="168" t="s">
        <v>593</v>
      </c>
      <c r="F29" s="168">
        <v>26</v>
      </c>
      <c r="G29" s="168"/>
      <c r="H29" s="168"/>
      <c r="I29" s="323">
        <f t="shared" si="1"/>
        <v>3.9</v>
      </c>
    </row>
    <row r="30" spans="1:14" x14ac:dyDescent="0.3">
      <c r="A30" s="168">
        <v>40</v>
      </c>
      <c r="B30" s="330" t="s">
        <v>762</v>
      </c>
      <c r="C30" s="168" t="s">
        <v>761</v>
      </c>
      <c r="D30" s="329">
        <v>5.25</v>
      </c>
      <c r="E30" s="315" t="s">
        <v>627</v>
      </c>
      <c r="F30" s="168">
        <v>3.5000000000000003E-2</v>
      </c>
      <c r="G30" s="168"/>
      <c r="H30" s="168"/>
      <c r="I30" s="323">
        <f t="shared" si="1"/>
        <v>0.18375000000000002</v>
      </c>
    </row>
    <row r="31" spans="1:14" x14ac:dyDescent="0.3">
      <c r="A31" s="168">
        <v>50</v>
      </c>
      <c r="B31" s="180" t="s">
        <v>760</v>
      </c>
      <c r="C31" s="171" t="s">
        <v>759</v>
      </c>
      <c r="D31" s="323">
        <v>0.19</v>
      </c>
      <c r="E31" s="168" t="s">
        <v>556</v>
      </c>
      <c r="F31" s="168">
        <v>6</v>
      </c>
      <c r="G31" s="168"/>
      <c r="H31" s="168"/>
      <c r="I31" s="323">
        <f t="shared" si="1"/>
        <v>1.1400000000000001</v>
      </c>
    </row>
    <row r="32" spans="1:14" x14ac:dyDescent="0.3">
      <c r="A32" s="168">
        <v>60</v>
      </c>
      <c r="B32" s="180" t="s">
        <v>758</v>
      </c>
      <c r="C32" s="171" t="s">
        <v>757</v>
      </c>
      <c r="D32" s="328">
        <v>5.625</v>
      </c>
      <c r="E32" s="180" t="s">
        <v>556</v>
      </c>
      <c r="F32" s="168">
        <v>1</v>
      </c>
      <c r="G32" s="168"/>
      <c r="H32" s="168"/>
      <c r="I32" s="323">
        <f t="shared" si="1"/>
        <v>5.625</v>
      </c>
    </row>
    <row r="33" spans="1:9" x14ac:dyDescent="0.3">
      <c r="A33" s="168">
        <v>70</v>
      </c>
      <c r="B33" s="180" t="s">
        <v>749</v>
      </c>
      <c r="C33" s="168" t="s">
        <v>756</v>
      </c>
      <c r="D33" s="243">
        <v>0.13</v>
      </c>
      <c r="E33" s="180" t="s">
        <v>556</v>
      </c>
      <c r="F33" s="168">
        <v>1</v>
      </c>
      <c r="G33" s="168"/>
      <c r="H33" s="168"/>
      <c r="I33" s="323">
        <f t="shared" si="1"/>
        <v>0.13</v>
      </c>
    </row>
    <row r="34" spans="1:9" x14ac:dyDescent="0.3">
      <c r="A34" s="168">
        <v>80</v>
      </c>
      <c r="B34" s="180" t="s">
        <v>2950</v>
      </c>
      <c r="C34" s="168" t="s">
        <v>755</v>
      </c>
      <c r="D34" s="243">
        <v>0.25</v>
      </c>
      <c r="E34" s="180" t="s">
        <v>556</v>
      </c>
      <c r="F34" s="168">
        <v>2</v>
      </c>
      <c r="G34" s="168"/>
      <c r="H34" s="168"/>
      <c r="I34" s="323">
        <f t="shared" si="1"/>
        <v>0.5</v>
      </c>
    </row>
    <row r="35" spans="1:9" x14ac:dyDescent="0.3">
      <c r="A35" s="168">
        <v>90</v>
      </c>
      <c r="B35" s="180" t="s">
        <v>616</v>
      </c>
      <c r="C35" s="168" t="s">
        <v>746</v>
      </c>
      <c r="D35" s="243">
        <v>0.25</v>
      </c>
      <c r="E35" s="180" t="s">
        <v>556</v>
      </c>
      <c r="F35" s="168">
        <v>2</v>
      </c>
      <c r="G35" s="168"/>
      <c r="H35" s="168"/>
      <c r="I35" s="323">
        <f t="shared" si="1"/>
        <v>0.5</v>
      </c>
    </row>
    <row r="36" spans="1:9" x14ac:dyDescent="0.3">
      <c r="A36" s="168">
        <v>100</v>
      </c>
      <c r="B36" s="180" t="s">
        <v>749</v>
      </c>
      <c r="C36" s="168" t="s">
        <v>754</v>
      </c>
      <c r="D36" s="243">
        <v>0.13</v>
      </c>
      <c r="E36" s="180" t="s">
        <v>556</v>
      </c>
      <c r="F36" s="168">
        <v>2</v>
      </c>
      <c r="G36" s="168"/>
      <c r="H36" s="168"/>
      <c r="I36" s="323">
        <f t="shared" si="1"/>
        <v>0.26</v>
      </c>
    </row>
    <row r="37" spans="1:9" x14ac:dyDescent="0.3">
      <c r="A37" s="168">
        <v>110</v>
      </c>
      <c r="B37" s="180" t="s">
        <v>2950</v>
      </c>
      <c r="C37" s="168" t="s">
        <v>753</v>
      </c>
      <c r="D37" s="243">
        <v>0.25</v>
      </c>
      <c r="E37" s="180" t="s">
        <v>556</v>
      </c>
      <c r="F37" s="168">
        <v>2</v>
      </c>
      <c r="G37" s="168"/>
      <c r="H37" s="168"/>
      <c r="I37" s="323">
        <f t="shared" si="1"/>
        <v>0.5</v>
      </c>
    </row>
    <row r="38" spans="1:9" x14ac:dyDescent="0.3">
      <c r="A38" s="168">
        <v>120</v>
      </c>
      <c r="B38" s="180" t="s">
        <v>616</v>
      </c>
      <c r="C38" s="168" t="s">
        <v>746</v>
      </c>
      <c r="D38" s="243">
        <v>0.25</v>
      </c>
      <c r="E38" s="180" t="s">
        <v>556</v>
      </c>
      <c r="F38" s="168">
        <v>2</v>
      </c>
      <c r="G38" s="168"/>
      <c r="H38" s="168"/>
      <c r="I38" s="323">
        <f t="shared" si="1"/>
        <v>0.5</v>
      </c>
    </row>
    <row r="39" spans="1:9" x14ac:dyDescent="0.3">
      <c r="A39" s="168">
        <v>130</v>
      </c>
      <c r="B39" s="180" t="s">
        <v>557</v>
      </c>
      <c r="C39" s="168" t="s">
        <v>752</v>
      </c>
      <c r="D39" s="243">
        <v>0.06</v>
      </c>
      <c r="E39" s="180" t="s">
        <v>556</v>
      </c>
      <c r="F39" s="168">
        <v>2</v>
      </c>
      <c r="G39" s="168"/>
      <c r="H39" s="168"/>
      <c r="I39" s="323">
        <f t="shared" si="1"/>
        <v>0.12</v>
      </c>
    </row>
    <row r="40" spans="1:9" x14ac:dyDescent="0.3">
      <c r="A40" s="168">
        <v>140</v>
      </c>
      <c r="B40" s="180" t="s">
        <v>2950</v>
      </c>
      <c r="C40" s="168" t="s">
        <v>751</v>
      </c>
      <c r="D40" s="243">
        <v>0.25</v>
      </c>
      <c r="E40" s="180" t="s">
        <v>556</v>
      </c>
      <c r="F40" s="168">
        <v>4</v>
      </c>
      <c r="G40" s="168"/>
      <c r="H40" s="168"/>
      <c r="I40" s="323">
        <f t="shared" si="1"/>
        <v>1</v>
      </c>
    </row>
    <row r="41" spans="1:9" x14ac:dyDescent="0.3">
      <c r="A41" s="168">
        <v>150</v>
      </c>
      <c r="B41" s="180" t="s">
        <v>616</v>
      </c>
      <c r="C41" s="168" t="s">
        <v>750</v>
      </c>
      <c r="D41" s="243">
        <v>0.75</v>
      </c>
      <c r="E41" s="180" t="s">
        <v>556</v>
      </c>
      <c r="F41" s="168">
        <v>4</v>
      </c>
      <c r="G41" s="168"/>
      <c r="H41" s="168"/>
      <c r="I41" s="323">
        <f t="shared" si="1"/>
        <v>3</v>
      </c>
    </row>
    <row r="42" spans="1:9" x14ac:dyDescent="0.3">
      <c r="A42" s="168">
        <v>160</v>
      </c>
      <c r="B42" s="180" t="s">
        <v>749</v>
      </c>
      <c r="C42" s="168" t="s">
        <v>748</v>
      </c>
      <c r="D42" s="243">
        <v>0.13</v>
      </c>
      <c r="E42" s="180" t="s">
        <v>556</v>
      </c>
      <c r="F42" s="168">
        <v>1</v>
      </c>
      <c r="G42" s="168"/>
      <c r="H42" s="168"/>
      <c r="I42" s="323">
        <f t="shared" si="1"/>
        <v>0.13</v>
      </c>
    </row>
    <row r="43" spans="1:9" x14ac:dyDescent="0.3">
      <c r="A43" s="168">
        <v>170</v>
      </c>
      <c r="B43" s="180" t="s">
        <v>2950</v>
      </c>
      <c r="C43" s="168" t="s">
        <v>747</v>
      </c>
      <c r="D43" s="243">
        <v>0.25</v>
      </c>
      <c r="E43" s="180" t="s">
        <v>556</v>
      </c>
      <c r="F43" s="168">
        <v>2</v>
      </c>
      <c r="G43" s="168"/>
      <c r="H43" s="168"/>
      <c r="I43" s="323">
        <f t="shared" si="1"/>
        <v>0.5</v>
      </c>
    </row>
    <row r="44" spans="1:9" x14ac:dyDescent="0.3">
      <c r="A44" s="168">
        <v>180</v>
      </c>
      <c r="B44" s="180" t="s">
        <v>616</v>
      </c>
      <c r="C44" s="168" t="s">
        <v>746</v>
      </c>
      <c r="D44" s="243">
        <v>0.25</v>
      </c>
      <c r="E44" s="180" t="s">
        <v>556</v>
      </c>
      <c r="F44" s="168">
        <v>2</v>
      </c>
      <c r="G44" s="168"/>
      <c r="H44" s="168"/>
      <c r="I44" s="323">
        <f t="shared" si="1"/>
        <v>0.5</v>
      </c>
    </row>
    <row r="45" spans="1:9" x14ac:dyDescent="0.3">
      <c r="A45" s="168">
        <v>190</v>
      </c>
      <c r="B45" s="180" t="s">
        <v>733</v>
      </c>
      <c r="C45" s="168" t="s">
        <v>745</v>
      </c>
      <c r="D45" s="243">
        <v>0.6</v>
      </c>
      <c r="E45" s="180" t="s">
        <v>556</v>
      </c>
      <c r="F45" s="168">
        <v>1</v>
      </c>
      <c r="G45" s="168"/>
      <c r="H45" s="168"/>
      <c r="I45" s="323">
        <f t="shared" si="1"/>
        <v>0.6</v>
      </c>
    </row>
    <row r="46" spans="1:9" x14ac:dyDescent="0.3">
      <c r="A46" s="168">
        <v>200</v>
      </c>
      <c r="B46" s="180" t="s">
        <v>744</v>
      </c>
      <c r="C46" s="171"/>
      <c r="D46" s="323">
        <v>50</v>
      </c>
      <c r="E46" s="168" t="s">
        <v>556</v>
      </c>
      <c r="F46" s="168">
        <v>1</v>
      </c>
      <c r="G46" s="168"/>
      <c r="H46" s="168"/>
      <c r="I46" s="323">
        <f t="shared" si="1"/>
        <v>50</v>
      </c>
    </row>
    <row r="47" spans="1:9" s="178" customFormat="1" x14ac:dyDescent="0.3">
      <c r="H47" s="321" t="s">
        <v>547</v>
      </c>
      <c r="I47" s="320">
        <f>SUM(I27:I46)</f>
        <v>79.138750000000002</v>
      </c>
    </row>
    <row r="49" spans="1:10" s="178" customFormat="1" x14ac:dyDescent="0.3">
      <c r="A49" s="324" t="s">
        <v>544</v>
      </c>
      <c r="B49" s="324" t="s">
        <v>566</v>
      </c>
      <c r="C49" s="324" t="s">
        <v>549</v>
      </c>
      <c r="D49" s="324" t="s">
        <v>550</v>
      </c>
      <c r="E49" s="324" t="s">
        <v>567</v>
      </c>
      <c r="F49" s="324" t="s">
        <v>568</v>
      </c>
      <c r="G49" s="324" t="s">
        <v>569</v>
      </c>
      <c r="H49" s="324" t="s">
        <v>570</v>
      </c>
      <c r="I49" s="324" t="s">
        <v>28</v>
      </c>
      <c r="J49" s="324" t="s">
        <v>547</v>
      </c>
    </row>
    <row r="50" spans="1:10" x14ac:dyDescent="0.3">
      <c r="A50" s="168">
        <v>10</v>
      </c>
      <c r="B50" s="168" t="s">
        <v>739</v>
      </c>
      <c r="C50" s="168" t="s">
        <v>743</v>
      </c>
      <c r="D50" s="243">
        <v>0.1</v>
      </c>
      <c r="E50" s="168">
        <v>12</v>
      </c>
      <c r="F50" s="245" t="s">
        <v>573</v>
      </c>
      <c r="G50" s="168"/>
      <c r="H50" s="171"/>
      <c r="I50" s="327">
        <v>6</v>
      </c>
      <c r="J50" s="323">
        <f>D50*I50</f>
        <v>0.60000000000000009</v>
      </c>
    </row>
    <row r="51" spans="1:10" x14ac:dyDescent="0.3">
      <c r="A51" s="168">
        <v>20</v>
      </c>
      <c r="B51" s="168" t="s">
        <v>741</v>
      </c>
      <c r="C51" s="168" t="s">
        <v>742</v>
      </c>
      <c r="D51" s="243">
        <v>1.4</v>
      </c>
      <c r="E51" s="168">
        <v>12</v>
      </c>
      <c r="F51" s="245" t="s">
        <v>573</v>
      </c>
      <c r="G51" s="168">
        <v>110</v>
      </c>
      <c r="H51" s="171" t="s">
        <v>573</v>
      </c>
      <c r="I51" s="327">
        <v>2</v>
      </c>
      <c r="J51" s="323">
        <f>D51*I51</f>
        <v>2.8</v>
      </c>
    </row>
    <row r="52" spans="1:10" x14ac:dyDescent="0.3">
      <c r="A52" s="168">
        <v>30</v>
      </c>
      <c r="B52" s="168" t="s">
        <v>737</v>
      </c>
      <c r="C52" s="168"/>
      <c r="D52" s="243">
        <v>0.01</v>
      </c>
      <c r="E52" s="168">
        <v>12</v>
      </c>
      <c r="F52" s="245" t="s">
        <v>573</v>
      </c>
      <c r="G52" s="168"/>
      <c r="H52" s="171"/>
      <c r="I52" s="327">
        <v>8</v>
      </c>
      <c r="J52" s="323">
        <f>D52*I52</f>
        <v>0.08</v>
      </c>
    </row>
    <row r="53" spans="1:10" ht="15" customHeight="1" x14ac:dyDescent="0.3">
      <c r="A53" s="168">
        <v>40</v>
      </c>
      <c r="B53" s="168" t="s">
        <v>741</v>
      </c>
      <c r="C53" s="168" t="s">
        <v>740</v>
      </c>
      <c r="D53" s="243">
        <v>0.12</v>
      </c>
      <c r="E53" s="168">
        <v>8</v>
      </c>
      <c r="F53" s="245" t="s">
        <v>573</v>
      </c>
      <c r="G53" s="168">
        <v>30</v>
      </c>
      <c r="H53" s="171" t="s">
        <v>573</v>
      </c>
      <c r="I53" s="327">
        <v>4</v>
      </c>
      <c r="J53" s="323">
        <f>D53*I53</f>
        <v>0.48</v>
      </c>
    </row>
    <row r="54" spans="1:10" ht="15" customHeight="1" x14ac:dyDescent="0.3">
      <c r="A54" s="168">
        <v>50</v>
      </c>
      <c r="B54" s="168" t="s">
        <v>739</v>
      </c>
      <c r="C54" s="168" t="s">
        <v>738</v>
      </c>
      <c r="D54" s="243">
        <v>0.04</v>
      </c>
      <c r="E54" s="168">
        <v>8</v>
      </c>
      <c r="F54" s="245" t="s">
        <v>573</v>
      </c>
      <c r="G54" s="168"/>
      <c r="H54" s="171"/>
      <c r="I54" s="327">
        <v>4</v>
      </c>
      <c r="J54" s="323">
        <f>D54*I54</f>
        <v>0.16</v>
      </c>
    </row>
    <row r="55" spans="1:10" ht="15" customHeight="1" x14ac:dyDescent="0.3">
      <c r="A55" s="168">
        <v>60</v>
      </c>
      <c r="B55" s="168" t="s">
        <v>737</v>
      </c>
      <c r="C55" s="168"/>
      <c r="D55" s="243">
        <v>0.01</v>
      </c>
      <c r="E55" s="168">
        <v>8</v>
      </c>
      <c r="F55" s="245" t="s">
        <v>573</v>
      </c>
      <c r="G55" s="168"/>
      <c r="H55" s="171"/>
      <c r="I55" s="327">
        <v>8</v>
      </c>
      <c r="J55" s="323">
        <f>D52*I55</f>
        <v>0.08</v>
      </c>
    </row>
    <row r="56" spans="1:10" s="196" customFormat="1" x14ac:dyDescent="0.3">
      <c r="A56" s="168">
        <v>70</v>
      </c>
      <c r="B56" s="190" t="s">
        <v>576</v>
      </c>
      <c r="C56" s="184" t="s">
        <v>745</v>
      </c>
      <c r="D56" s="191">
        <v>0</v>
      </c>
      <c r="E56" s="184"/>
      <c r="F56" s="192"/>
      <c r="G56" s="184"/>
      <c r="H56" s="193"/>
      <c r="I56" s="194">
        <v>2</v>
      </c>
      <c r="J56" s="170">
        <f>D56*I56</f>
        <v>0</v>
      </c>
    </row>
    <row r="57" spans="1:10" s="178" customFormat="1" ht="15" customHeight="1" x14ac:dyDescent="0.3">
      <c r="I57" s="321" t="s">
        <v>547</v>
      </c>
      <c r="J57" s="320">
        <f>SUM(J50:J55)</f>
        <v>4.2</v>
      </c>
    </row>
    <row r="58" spans="1:10" ht="15" customHeight="1" x14ac:dyDescent="0.3">
      <c r="H58" s="326"/>
      <c r="I58" s="325"/>
    </row>
    <row r="59" spans="1:10" s="178" customFormat="1" ht="15" customHeight="1" x14ac:dyDescent="0.3">
      <c r="A59" s="324" t="s">
        <v>544</v>
      </c>
      <c r="B59" s="324" t="s">
        <v>6</v>
      </c>
      <c r="C59" s="324" t="s">
        <v>549</v>
      </c>
      <c r="D59" s="324" t="s">
        <v>550</v>
      </c>
      <c r="E59" s="324" t="s">
        <v>551</v>
      </c>
      <c r="F59" s="324" t="s">
        <v>28</v>
      </c>
      <c r="G59" s="324" t="s">
        <v>691</v>
      </c>
      <c r="H59" s="324" t="s">
        <v>736</v>
      </c>
      <c r="I59" s="324" t="s">
        <v>547</v>
      </c>
    </row>
    <row r="60" spans="1:10" ht="15" customHeight="1" x14ac:dyDescent="0.3">
      <c r="A60" s="168">
        <v>10</v>
      </c>
      <c r="B60" s="168" t="s">
        <v>693</v>
      </c>
      <c r="C60" s="168" t="s">
        <v>735</v>
      </c>
      <c r="D60" s="323">
        <v>500</v>
      </c>
      <c r="E60" s="168" t="s">
        <v>695</v>
      </c>
      <c r="F60" s="168">
        <v>30</v>
      </c>
      <c r="G60" s="168">
        <v>3000</v>
      </c>
      <c r="H60" s="168">
        <v>1</v>
      </c>
      <c r="I60" s="322">
        <f>D60*F60/G60*H60</f>
        <v>5</v>
      </c>
    </row>
    <row r="61" spans="1:10" s="178" customFormat="1" ht="15" customHeight="1" x14ac:dyDescent="0.3">
      <c r="H61" s="321" t="s">
        <v>547</v>
      </c>
      <c r="I61" s="320">
        <f>SUM(I60:I60)</f>
        <v>5</v>
      </c>
    </row>
    <row r="62" spans="1:10" ht="15" customHeight="1" x14ac:dyDescent="0.3"/>
    <row r="63" spans="1:10" ht="15" customHeight="1" x14ac:dyDescent="0.3"/>
    <row r="64" spans="1:10" ht="15" customHeight="1" x14ac:dyDescent="0.3"/>
    <row r="65" ht="15" customHeight="1" x14ac:dyDescent="0.3"/>
    <row r="66" ht="15" customHeight="1" x14ac:dyDescent="0.3"/>
    <row r="67" ht="15" customHeight="1" x14ac:dyDescent="0.3"/>
    <row r="68" ht="15" customHeight="1" x14ac:dyDescent="0.3"/>
    <row r="69" ht="15" customHeight="1" x14ac:dyDescent="0.3"/>
    <row r="70" ht="15" customHeight="1" x14ac:dyDescent="0.3"/>
    <row r="71" ht="15" customHeight="1" x14ac:dyDescent="0.3"/>
    <row r="72" ht="15" customHeight="1" x14ac:dyDescent="0.3"/>
    <row r="73" ht="15" customHeight="1" x14ac:dyDescent="0.3"/>
    <row r="74" ht="15" customHeight="1" x14ac:dyDescent="0.3"/>
    <row r="75" ht="15" customHeight="1" x14ac:dyDescent="0.3"/>
    <row r="76" ht="15" customHeight="1" x14ac:dyDescent="0.3"/>
    <row r="77" ht="15" customHeight="1" x14ac:dyDescent="0.3"/>
    <row r="78" ht="15" customHeight="1" x14ac:dyDescent="0.3"/>
    <row r="79" ht="15" customHeight="1" x14ac:dyDescent="0.3"/>
    <row r="80" ht="15" customHeight="1" x14ac:dyDescent="0.3"/>
    <row r="81" ht="15" customHeight="1" x14ac:dyDescent="0.3"/>
    <row r="82" ht="15" customHeight="1" x14ac:dyDescent="0.3"/>
    <row r="83" ht="15" customHeight="1" x14ac:dyDescent="0.3"/>
    <row r="84" ht="15" customHeight="1" x14ac:dyDescent="0.3"/>
    <row r="85" ht="15" customHeight="1" x14ac:dyDescent="0.3"/>
    <row r="86" ht="15" customHeight="1" x14ac:dyDescent="0.3"/>
    <row r="87" ht="15" customHeight="1" x14ac:dyDescent="0.3"/>
    <row r="88" ht="15" customHeight="1" x14ac:dyDescent="0.3"/>
    <row r="89" ht="15" customHeight="1" x14ac:dyDescent="0.3"/>
    <row r="90" ht="15" customHeight="1" x14ac:dyDescent="0.3"/>
    <row r="91" ht="15" customHeight="1" x14ac:dyDescent="0.3"/>
    <row r="92" ht="15" customHeight="1" x14ac:dyDescent="0.3"/>
    <row r="93" ht="15" customHeight="1" x14ac:dyDescent="0.3"/>
    <row r="94" ht="15" customHeight="1" x14ac:dyDescent="0.3"/>
    <row r="95" ht="15" customHeight="1" x14ac:dyDescent="0.3"/>
    <row r="96" ht="15" customHeight="1" x14ac:dyDescent="0.3"/>
    <row r="97" ht="15" customHeight="1" x14ac:dyDescent="0.3"/>
    <row r="98" ht="15" customHeight="1" x14ac:dyDescent="0.3"/>
    <row r="99" ht="15" customHeight="1" x14ac:dyDescent="0.3"/>
    <row r="100" ht="15" customHeight="1" x14ac:dyDescent="0.3"/>
    <row r="101" ht="15" customHeight="1" x14ac:dyDescent="0.3"/>
    <row r="102" ht="15" customHeight="1" x14ac:dyDescent="0.3"/>
    <row r="103" ht="15" customHeight="1" x14ac:dyDescent="0.3"/>
    <row r="104" ht="15" customHeight="1" x14ac:dyDescent="0.3"/>
    <row r="105" ht="15" customHeight="1" x14ac:dyDescent="0.3"/>
    <row r="106" ht="15" customHeight="1" x14ac:dyDescent="0.3"/>
    <row r="107" ht="15" customHeight="1" x14ac:dyDescent="0.3"/>
  </sheetData>
  <pageMargins left="0.5" right="0.5" top="0.75" bottom="0.75" header="0.3" footer="0.3"/>
  <pageSetup paperSize="9" scale="54" orientation="landscape" r:id="rId1"/>
</worksheet>
</file>

<file path=xl/worksheets/sheet2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O36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5.44140625" style="161" customWidth="1"/>
    <col min="3" max="3" width="32.66406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1.6640625" style="16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5" x14ac:dyDescent="0.3">
      <c r="A1" s="747" t="s">
        <v>523</v>
      </c>
      <c r="B1" s="161" t="s">
        <v>524</v>
      </c>
      <c r="J1" s="748" t="s">
        <v>528</v>
      </c>
      <c r="K1" s="163">
        <v>81</v>
      </c>
      <c r="M1" s="747" t="s">
        <v>546</v>
      </c>
      <c r="N1" s="336">
        <f>N12+I25+I29</f>
        <v>10.695038123333333</v>
      </c>
    </row>
    <row r="2" spans="1:15" x14ac:dyDescent="0.3">
      <c r="A2" s="747" t="s">
        <v>532</v>
      </c>
      <c r="B2" s="161" t="s">
        <v>13</v>
      </c>
      <c r="C2" s="359" t="s">
        <v>732</v>
      </c>
      <c r="D2" s="778" t="s">
        <v>536</v>
      </c>
      <c r="M2" s="747" t="s">
        <v>533</v>
      </c>
      <c r="N2" s="165">
        <v>1</v>
      </c>
    </row>
    <row r="3" spans="1:15" x14ac:dyDescent="0.3">
      <c r="A3" s="747" t="s">
        <v>534</v>
      </c>
      <c r="B3" s="161" t="s">
        <v>363</v>
      </c>
      <c r="D3" s="747" t="s">
        <v>538</v>
      </c>
      <c r="J3" s="747" t="s">
        <v>536</v>
      </c>
    </row>
    <row r="4" spans="1:15" x14ac:dyDescent="0.3">
      <c r="A4" s="747" t="s">
        <v>545</v>
      </c>
      <c r="B4" s="166" t="s">
        <v>372</v>
      </c>
      <c r="D4" s="747" t="s">
        <v>541</v>
      </c>
      <c r="J4" s="747" t="s">
        <v>538</v>
      </c>
      <c r="M4" s="747" t="s">
        <v>539</v>
      </c>
      <c r="N4" s="336">
        <f>N1*N2</f>
        <v>10.695038123333333</v>
      </c>
    </row>
    <row r="5" spans="1:15" x14ac:dyDescent="0.3">
      <c r="A5" s="747" t="s">
        <v>537</v>
      </c>
      <c r="B5" s="166" t="s">
        <v>371</v>
      </c>
      <c r="J5" s="747" t="s">
        <v>541</v>
      </c>
    </row>
    <row r="6" spans="1:15" x14ac:dyDescent="0.3">
      <c r="A6" s="747" t="s">
        <v>540</v>
      </c>
      <c r="B6" s="161" t="s">
        <v>36</v>
      </c>
    </row>
    <row r="7" spans="1:15" x14ac:dyDescent="0.3">
      <c r="A7" s="747" t="s">
        <v>542</v>
      </c>
    </row>
    <row r="9" spans="1:15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  <c r="O9" s="178"/>
    </row>
    <row r="10" spans="1:15" ht="28.8" x14ac:dyDescent="0.3">
      <c r="A10" s="168">
        <v>10</v>
      </c>
      <c r="B10" s="168" t="s">
        <v>596</v>
      </c>
      <c r="C10" s="168" t="s">
        <v>2515</v>
      </c>
      <c r="D10" s="302">
        <v>2.25</v>
      </c>
      <c r="E10" s="168">
        <v>23.5</v>
      </c>
      <c r="F10" s="168" t="s">
        <v>573</v>
      </c>
      <c r="G10" s="168"/>
      <c r="H10" s="219"/>
      <c r="I10" s="269" t="s">
        <v>2520</v>
      </c>
      <c r="J10" s="227">
        <v>1.7340000000000001E-3</v>
      </c>
      <c r="K10" s="610">
        <v>3.5999999999999997E-2</v>
      </c>
      <c r="L10" s="219">
        <v>7860</v>
      </c>
      <c r="M10" s="222">
        <v>1</v>
      </c>
      <c r="N10" s="322">
        <f>IF(J10="",D10*M10,D10*J10*K10*L10*M10)</f>
        <v>1.1039684399999998</v>
      </c>
    </row>
    <row r="11" spans="1:15" x14ac:dyDescent="0.3">
      <c r="A11" s="168">
        <v>20</v>
      </c>
      <c r="B11" s="720" t="s">
        <v>894</v>
      </c>
      <c r="C11" s="720" t="s">
        <v>2521</v>
      </c>
      <c r="D11" s="302">
        <v>2.25</v>
      </c>
      <c r="E11" s="720">
        <v>10</v>
      </c>
      <c r="F11" s="720" t="s">
        <v>573</v>
      </c>
      <c r="G11" s="720">
        <v>8.5</v>
      </c>
      <c r="H11" s="754" t="s">
        <v>2522</v>
      </c>
      <c r="I11" s="755"/>
      <c r="J11" s="756">
        <v>8.7000000000000001E-5</v>
      </c>
      <c r="K11" s="757">
        <v>0.16500000000000001</v>
      </c>
      <c r="L11" s="754">
        <v>7860</v>
      </c>
      <c r="M11" s="720">
        <v>2</v>
      </c>
      <c r="N11" s="322">
        <f>IF(J11="",D11*M11,D11*J11*K11*L11*M11)</f>
        <v>0.50773635000000006</v>
      </c>
    </row>
    <row r="12" spans="1:15" x14ac:dyDescent="0.3">
      <c r="A12" s="178"/>
      <c r="B12" s="178"/>
      <c r="C12" s="178"/>
      <c r="D12" s="178"/>
      <c r="E12" s="178"/>
      <c r="F12" s="178"/>
      <c r="G12" s="178"/>
      <c r="H12" s="178"/>
      <c r="I12" s="178"/>
      <c r="J12" s="178"/>
      <c r="K12" s="178"/>
      <c r="L12" s="178"/>
      <c r="M12" s="750" t="s">
        <v>547</v>
      </c>
      <c r="N12" s="751">
        <f>SUM(N10:N11)</f>
        <v>1.6117047899999999</v>
      </c>
      <c r="O12" s="178"/>
    </row>
    <row r="14" spans="1:15" x14ac:dyDescent="0.3">
      <c r="A14" s="749" t="s">
        <v>544</v>
      </c>
      <c r="B14" s="749" t="s">
        <v>548</v>
      </c>
      <c r="C14" s="749" t="s">
        <v>549</v>
      </c>
      <c r="D14" s="749" t="s">
        <v>550</v>
      </c>
      <c r="E14" s="749" t="s">
        <v>551</v>
      </c>
      <c r="F14" s="749" t="s">
        <v>28</v>
      </c>
      <c r="G14" s="749" t="s">
        <v>552</v>
      </c>
      <c r="H14" s="749" t="s">
        <v>553</v>
      </c>
      <c r="I14" s="749" t="s">
        <v>547</v>
      </c>
      <c r="J14" s="178"/>
      <c r="K14" s="178"/>
      <c r="L14" s="178"/>
      <c r="M14" s="178"/>
      <c r="N14" s="178"/>
      <c r="O14" s="178"/>
    </row>
    <row r="15" spans="1:15" ht="28.8" x14ac:dyDescent="0.3">
      <c r="A15" s="168">
        <v>10</v>
      </c>
      <c r="B15" s="180" t="s">
        <v>589</v>
      </c>
      <c r="C15" s="171" t="s">
        <v>1635</v>
      </c>
      <c r="D15" s="323">
        <v>1.3</v>
      </c>
      <c r="E15" s="168" t="s">
        <v>556</v>
      </c>
      <c r="F15" s="168">
        <v>1</v>
      </c>
      <c r="G15" s="168"/>
      <c r="H15" s="168"/>
      <c r="I15" s="323">
        <f>D15</f>
        <v>1.3</v>
      </c>
    </row>
    <row r="16" spans="1:15" x14ac:dyDescent="0.3">
      <c r="A16" s="168">
        <v>20</v>
      </c>
      <c r="B16" s="171" t="s">
        <v>1612</v>
      </c>
      <c r="C16" s="171" t="s">
        <v>2523</v>
      </c>
      <c r="D16" s="243">
        <v>0.35</v>
      </c>
      <c r="E16" s="168" t="s">
        <v>843</v>
      </c>
      <c r="F16" s="168">
        <v>1</v>
      </c>
      <c r="G16" s="168"/>
      <c r="H16" s="168"/>
      <c r="I16" s="323">
        <f>F16*D16</f>
        <v>0.35</v>
      </c>
    </row>
    <row r="17" spans="1:15" ht="28.8" x14ac:dyDescent="0.3">
      <c r="A17" s="168">
        <v>30</v>
      </c>
      <c r="B17" s="180" t="s">
        <v>609</v>
      </c>
      <c r="C17" s="168" t="s">
        <v>2524</v>
      </c>
      <c r="D17" s="323">
        <v>0.04</v>
      </c>
      <c r="E17" s="168" t="s">
        <v>610</v>
      </c>
      <c r="F17" s="168">
        <v>3</v>
      </c>
      <c r="G17" s="184" t="s">
        <v>2525</v>
      </c>
      <c r="H17" s="168">
        <v>3</v>
      </c>
      <c r="I17" s="322">
        <f>F17*D17*H17</f>
        <v>0.36</v>
      </c>
    </row>
    <row r="18" spans="1:15" x14ac:dyDescent="0.3">
      <c r="A18" s="168">
        <v>40</v>
      </c>
      <c r="B18" s="171" t="s">
        <v>1623</v>
      </c>
      <c r="C18" s="171" t="s">
        <v>2526</v>
      </c>
      <c r="D18" s="243">
        <v>0.35</v>
      </c>
      <c r="E18" s="168" t="s">
        <v>843</v>
      </c>
      <c r="F18" s="168">
        <v>1</v>
      </c>
      <c r="G18" s="168"/>
      <c r="H18" s="168"/>
      <c r="I18" s="323">
        <f>D18</f>
        <v>0.35</v>
      </c>
    </row>
    <row r="19" spans="1:15" x14ac:dyDescent="0.3">
      <c r="A19" s="168">
        <v>50</v>
      </c>
      <c r="B19" s="180" t="s">
        <v>785</v>
      </c>
      <c r="C19" s="171" t="s">
        <v>2527</v>
      </c>
      <c r="D19" s="323">
        <v>0.65</v>
      </c>
      <c r="E19" s="168" t="s">
        <v>556</v>
      </c>
      <c r="F19" s="168">
        <v>1</v>
      </c>
      <c r="G19" s="168"/>
      <c r="H19" s="168"/>
      <c r="I19" s="323">
        <f>D19</f>
        <v>0.65</v>
      </c>
    </row>
    <row r="20" spans="1:15" ht="28.8" x14ac:dyDescent="0.3">
      <c r="A20" s="168">
        <v>60</v>
      </c>
      <c r="B20" s="180" t="s">
        <v>609</v>
      </c>
      <c r="C20" s="168" t="s">
        <v>2528</v>
      </c>
      <c r="D20" s="323">
        <v>0.04</v>
      </c>
      <c r="E20" s="168" t="s">
        <v>610</v>
      </c>
      <c r="F20" s="168">
        <v>3</v>
      </c>
      <c r="G20" s="184" t="s">
        <v>2525</v>
      </c>
      <c r="H20" s="168">
        <v>3</v>
      </c>
      <c r="I20" s="322">
        <f>F20*D20*H20</f>
        <v>0.36</v>
      </c>
    </row>
    <row r="21" spans="1:15" x14ac:dyDescent="0.3">
      <c r="A21" s="168">
        <v>70</v>
      </c>
      <c r="B21" s="171" t="s">
        <v>1623</v>
      </c>
      <c r="C21" s="171" t="s">
        <v>2526</v>
      </c>
      <c r="D21" s="243">
        <v>0.35</v>
      </c>
      <c r="E21" s="168" t="s">
        <v>843</v>
      </c>
      <c r="F21" s="168">
        <v>1</v>
      </c>
      <c r="G21" s="168"/>
      <c r="H21" s="168"/>
      <c r="I21" s="323">
        <f>D21</f>
        <v>0.35</v>
      </c>
    </row>
    <row r="22" spans="1:15" ht="28.8" x14ac:dyDescent="0.3">
      <c r="A22" s="168">
        <v>80</v>
      </c>
      <c r="B22" s="180" t="s">
        <v>589</v>
      </c>
      <c r="C22" s="171" t="s">
        <v>1635</v>
      </c>
      <c r="D22" s="323">
        <v>1.3</v>
      </c>
      <c r="E22" s="168" t="s">
        <v>556</v>
      </c>
      <c r="F22" s="168">
        <v>1</v>
      </c>
      <c r="G22" s="168"/>
      <c r="H22" s="168"/>
      <c r="I22" s="323">
        <f>D22</f>
        <v>1.3</v>
      </c>
    </row>
    <row r="23" spans="1:15" s="178" customFormat="1" ht="28.8" x14ac:dyDescent="0.3">
      <c r="A23" s="168">
        <v>90</v>
      </c>
      <c r="B23" s="180" t="s">
        <v>591</v>
      </c>
      <c r="C23" s="171" t="s">
        <v>2529</v>
      </c>
      <c r="D23" s="758">
        <v>0.01</v>
      </c>
      <c r="E23" s="168" t="s">
        <v>593</v>
      </c>
      <c r="F23" s="168">
        <v>26</v>
      </c>
      <c r="G23" s="184" t="s">
        <v>2525</v>
      </c>
      <c r="H23" s="168">
        <v>3</v>
      </c>
      <c r="I23" s="323">
        <f>D23*F23*H23</f>
        <v>0.78</v>
      </c>
      <c r="J23" s="161"/>
      <c r="K23" s="161"/>
      <c r="L23" s="161"/>
      <c r="M23" s="161"/>
      <c r="N23" s="161"/>
      <c r="O23" s="161"/>
    </row>
    <row r="24" spans="1:15" ht="28.8" x14ac:dyDescent="0.3">
      <c r="A24" s="168">
        <v>100</v>
      </c>
      <c r="B24" s="180" t="s">
        <v>650</v>
      </c>
      <c r="C24" s="184" t="s">
        <v>2530</v>
      </c>
      <c r="D24" s="243">
        <v>0.15</v>
      </c>
      <c r="E24" s="168" t="s">
        <v>593</v>
      </c>
      <c r="F24" s="168">
        <v>13</v>
      </c>
      <c r="G24" s="168"/>
      <c r="H24" s="168">
        <v>1</v>
      </c>
      <c r="I24" s="170">
        <f>D24*F24*H24</f>
        <v>1.95</v>
      </c>
      <c r="J24" s="178"/>
      <c r="K24" s="178"/>
      <c r="L24" s="178"/>
      <c r="M24" s="178"/>
      <c r="N24" s="178"/>
      <c r="O24" s="178"/>
    </row>
    <row r="25" spans="1:15" x14ac:dyDescent="0.3">
      <c r="A25" s="178"/>
      <c r="B25" s="178"/>
      <c r="C25" s="178"/>
      <c r="D25" s="178"/>
      <c r="E25" s="178"/>
      <c r="F25" s="178"/>
      <c r="G25" s="178"/>
      <c r="H25" s="752" t="s">
        <v>547</v>
      </c>
      <c r="I25" s="753">
        <f>SUM(I15:I24)</f>
        <v>7.75</v>
      </c>
      <c r="J25" s="178"/>
      <c r="K25" s="178"/>
      <c r="L25" s="178"/>
      <c r="M25" s="178"/>
      <c r="N25" s="178"/>
      <c r="O25" s="178"/>
    </row>
    <row r="26" spans="1:15" x14ac:dyDescent="0.3">
      <c r="A26" s="178"/>
      <c r="B26" s="178"/>
      <c r="C26" s="178"/>
      <c r="D26" s="178"/>
      <c r="E26" s="178"/>
      <c r="F26" s="178"/>
      <c r="G26" s="178"/>
      <c r="H26" s="359"/>
      <c r="I26" s="360"/>
      <c r="J26" s="178"/>
      <c r="K26" s="178"/>
      <c r="L26" s="178"/>
      <c r="M26" s="178"/>
      <c r="N26" s="178"/>
      <c r="O26" s="178"/>
    </row>
    <row r="27" spans="1:15" x14ac:dyDescent="0.3">
      <c r="A27" s="749" t="s">
        <v>544</v>
      </c>
      <c r="B27" s="749" t="s">
        <v>6</v>
      </c>
      <c r="C27" s="749" t="s">
        <v>549</v>
      </c>
      <c r="D27" s="749" t="s">
        <v>550</v>
      </c>
      <c r="E27" s="749" t="s">
        <v>551</v>
      </c>
      <c r="F27" s="749" t="s">
        <v>28</v>
      </c>
      <c r="G27" s="749" t="s">
        <v>691</v>
      </c>
      <c r="H27" s="749" t="s">
        <v>692</v>
      </c>
      <c r="I27" s="749" t="s">
        <v>547</v>
      </c>
    </row>
    <row r="28" spans="1:15" x14ac:dyDescent="0.3">
      <c r="A28" s="168">
        <v>10</v>
      </c>
      <c r="B28" s="168" t="s">
        <v>1767</v>
      </c>
      <c r="C28" s="168" t="s">
        <v>1732</v>
      </c>
      <c r="D28" s="170">
        <v>500</v>
      </c>
      <c r="E28" s="168" t="s">
        <v>695</v>
      </c>
      <c r="F28" s="168">
        <v>8</v>
      </c>
      <c r="G28" s="168">
        <v>3000</v>
      </c>
      <c r="H28" s="168">
        <v>1</v>
      </c>
      <c r="I28" s="223">
        <f>D28*F28/G28*H28</f>
        <v>1.3333333333333333</v>
      </c>
      <c r="J28" s="178"/>
      <c r="K28" s="178"/>
      <c r="L28" s="178"/>
      <c r="M28" s="178"/>
      <c r="N28" s="178"/>
      <c r="O28" s="178"/>
    </row>
    <row r="29" spans="1:15" x14ac:dyDescent="0.3">
      <c r="A29" s="178"/>
      <c r="B29" s="178"/>
      <c r="C29" s="178"/>
      <c r="D29" s="178"/>
      <c r="E29" s="178"/>
      <c r="F29" s="178"/>
      <c r="G29" s="178"/>
      <c r="H29" s="752" t="s">
        <v>547</v>
      </c>
      <c r="I29" s="751">
        <f>SUM(I28:I28)</f>
        <v>1.3333333333333333</v>
      </c>
    </row>
    <row r="30" spans="1:15" s="178" customFormat="1" x14ac:dyDescent="0.3">
      <c r="A30" s="161"/>
      <c r="B30" s="161"/>
      <c r="C30" s="161"/>
      <c r="D30" s="161"/>
      <c r="E30" s="161"/>
      <c r="F30" s="161"/>
      <c r="G30" s="161"/>
      <c r="H30" s="326"/>
      <c r="I30" s="325"/>
      <c r="J30" s="161"/>
      <c r="K30" s="161"/>
      <c r="L30" s="161"/>
      <c r="M30" s="161"/>
      <c r="N30" s="161"/>
      <c r="O30" s="161"/>
    </row>
    <row r="32" spans="1:15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  <c r="O32" s="161"/>
    </row>
    <row r="35" spans="1:9" s="178" customFormat="1" x14ac:dyDescent="0.3">
      <c r="A35" s="161"/>
      <c r="B35" s="161"/>
      <c r="C35" s="161"/>
      <c r="D35" s="161"/>
      <c r="E35" s="161"/>
      <c r="F35" s="161"/>
      <c r="G35" s="161"/>
      <c r="H35" s="161"/>
      <c r="I35" s="161"/>
    </row>
    <row r="36" spans="1:9" x14ac:dyDescent="0.3">
      <c r="A36" s="178"/>
      <c r="B36" s="178"/>
      <c r="C36" s="178"/>
      <c r="D36" s="178"/>
      <c r="E36" s="178"/>
      <c r="F36" s="178"/>
      <c r="G36" s="178"/>
      <c r="H36" s="178"/>
      <c r="I36" s="178"/>
    </row>
  </sheetData>
  <hyperlinks>
    <hyperlink ref="D2" location="'Steering Wheel Mount drawing'!A1" display="FileLink1"/>
  </hyperlinks>
  <pageMargins left="0.5" right="0.5" top="0.75" bottom="0.75" header="0.3" footer="0.3"/>
  <pageSetup paperSize="9" scale="66" fitToHeight="0" orientation="landscape"/>
  <headerFooter alignWithMargins="0"/>
  <drawing r:id="rId1"/>
</worksheet>
</file>

<file path=xl/worksheets/sheet2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N28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5.44140625" style="161" customWidth="1"/>
    <col min="3" max="3" width="32.10937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5.5546875" style="16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4" x14ac:dyDescent="0.3">
      <c r="A1" s="759" t="s">
        <v>523</v>
      </c>
      <c r="B1" s="760" t="s">
        <v>524</v>
      </c>
      <c r="C1" s="760"/>
      <c r="D1" s="760"/>
      <c r="E1" s="760"/>
      <c r="F1" s="760"/>
      <c r="G1" s="760"/>
      <c r="H1" s="760"/>
      <c r="I1" s="760"/>
      <c r="J1" s="761" t="s">
        <v>528</v>
      </c>
      <c r="K1" s="762">
        <v>81</v>
      </c>
      <c r="L1" s="760"/>
      <c r="M1" s="759" t="s">
        <v>546</v>
      </c>
      <c r="N1" s="763">
        <f>N13+I22</f>
        <v>16.333775000000003</v>
      </c>
    </row>
    <row r="2" spans="1:14" x14ac:dyDescent="0.3">
      <c r="A2" s="764" t="s">
        <v>532</v>
      </c>
      <c r="B2" s="760" t="s">
        <v>13</v>
      </c>
      <c r="C2" s="760"/>
      <c r="D2" s="759" t="s">
        <v>536</v>
      </c>
      <c r="E2" s="760"/>
      <c r="F2" s="760"/>
      <c r="G2" s="760"/>
      <c r="H2" s="760"/>
      <c r="I2" s="760"/>
      <c r="J2" s="760"/>
      <c r="K2" s="760"/>
      <c r="L2" s="760"/>
      <c r="M2" s="764" t="s">
        <v>533</v>
      </c>
      <c r="N2" s="765">
        <v>1</v>
      </c>
    </row>
    <row r="3" spans="1:14" x14ac:dyDescent="0.3">
      <c r="A3" s="764" t="s">
        <v>534</v>
      </c>
      <c r="B3" s="760" t="s">
        <v>363</v>
      </c>
      <c r="C3" s="760"/>
      <c r="D3" s="764" t="s">
        <v>538</v>
      </c>
      <c r="E3" s="760"/>
      <c r="F3" s="760"/>
      <c r="G3" s="760"/>
      <c r="H3" s="760"/>
      <c r="I3" s="760"/>
      <c r="J3" s="759" t="s">
        <v>536</v>
      </c>
      <c r="K3" s="760"/>
      <c r="L3" s="760"/>
      <c r="M3" s="760"/>
      <c r="N3" s="760"/>
    </row>
    <row r="4" spans="1:14" x14ac:dyDescent="0.3">
      <c r="A4" s="764" t="s">
        <v>545</v>
      </c>
      <c r="B4" s="766" t="s">
        <v>374</v>
      </c>
      <c r="C4" s="766"/>
      <c r="D4" s="764" t="s">
        <v>541</v>
      </c>
      <c r="E4" s="760"/>
      <c r="F4" s="760"/>
      <c r="G4" s="760"/>
      <c r="H4" s="760"/>
      <c r="I4" s="760"/>
      <c r="J4" s="764" t="s">
        <v>538</v>
      </c>
      <c r="K4" s="760"/>
      <c r="L4" s="760"/>
      <c r="M4" s="759" t="s">
        <v>539</v>
      </c>
      <c r="N4" s="763">
        <f>N1</f>
        <v>16.333775000000003</v>
      </c>
    </row>
    <row r="5" spans="1:14" x14ac:dyDescent="0.3">
      <c r="A5" s="764" t="s">
        <v>537</v>
      </c>
      <c r="B5" s="766" t="s">
        <v>373</v>
      </c>
      <c r="C5" s="760"/>
      <c r="D5" s="760"/>
      <c r="E5" s="760"/>
      <c r="F5" s="760"/>
      <c r="G5" s="760"/>
      <c r="H5" s="760"/>
      <c r="I5" s="760"/>
      <c r="J5" s="764" t="s">
        <v>541</v>
      </c>
      <c r="K5" s="760"/>
      <c r="L5" s="760"/>
      <c r="M5" s="760"/>
      <c r="N5" s="760"/>
    </row>
    <row r="6" spans="1:14" x14ac:dyDescent="0.3">
      <c r="A6" s="764" t="s">
        <v>540</v>
      </c>
      <c r="B6" s="760" t="s">
        <v>36</v>
      </c>
      <c r="C6" s="760"/>
      <c r="D6" s="760"/>
      <c r="E6" s="760"/>
      <c r="F6" s="760"/>
      <c r="G6" s="760"/>
      <c r="H6" s="760"/>
      <c r="I6" s="760"/>
      <c r="J6" s="760"/>
      <c r="K6" s="760"/>
      <c r="L6" s="760"/>
      <c r="M6" s="760"/>
      <c r="N6" s="760"/>
    </row>
    <row r="7" spans="1:14" x14ac:dyDescent="0.3">
      <c r="A7" s="764" t="s">
        <v>542</v>
      </c>
      <c r="B7" s="760" t="s">
        <v>1117</v>
      </c>
      <c r="C7" s="760"/>
      <c r="D7" s="760"/>
      <c r="E7" s="760"/>
      <c r="F7" s="760"/>
      <c r="G7" s="760"/>
      <c r="H7" s="760"/>
      <c r="I7" s="760"/>
      <c r="J7" s="760"/>
      <c r="K7" s="760"/>
      <c r="L7" s="760"/>
      <c r="M7" s="760"/>
      <c r="N7" s="760"/>
    </row>
    <row r="8" spans="1:14" x14ac:dyDescent="0.3">
      <c r="A8" s="760"/>
      <c r="B8" s="760"/>
      <c r="C8" s="760"/>
      <c r="D8" s="760"/>
      <c r="E8" s="760"/>
      <c r="F8" s="760"/>
      <c r="G8" s="760"/>
      <c r="H8" s="760"/>
      <c r="I8" s="760"/>
      <c r="J8" s="760"/>
      <c r="K8" s="760"/>
      <c r="L8" s="760"/>
      <c r="M8" s="760"/>
      <c r="N8" s="760"/>
    </row>
    <row r="9" spans="1:14" x14ac:dyDescent="0.3">
      <c r="A9" s="767" t="s">
        <v>544</v>
      </c>
      <c r="B9" s="768" t="s">
        <v>581</v>
      </c>
      <c r="C9" s="768" t="s">
        <v>549</v>
      </c>
      <c r="D9" s="768" t="s">
        <v>550</v>
      </c>
      <c r="E9" s="768" t="s">
        <v>567</v>
      </c>
      <c r="F9" s="768" t="s">
        <v>568</v>
      </c>
      <c r="G9" s="768" t="s">
        <v>569</v>
      </c>
      <c r="H9" s="768" t="s">
        <v>570</v>
      </c>
      <c r="I9" s="768" t="s">
        <v>582</v>
      </c>
      <c r="J9" s="768" t="s">
        <v>583</v>
      </c>
      <c r="K9" s="768" t="s">
        <v>584</v>
      </c>
      <c r="L9" s="768" t="s">
        <v>585</v>
      </c>
      <c r="M9" s="768" t="s">
        <v>28</v>
      </c>
      <c r="N9" s="768" t="s">
        <v>547</v>
      </c>
    </row>
    <row r="10" spans="1:14" ht="43.2" x14ac:dyDescent="0.3">
      <c r="A10" s="720">
        <v>10</v>
      </c>
      <c r="B10" s="168" t="s">
        <v>596</v>
      </c>
      <c r="C10" s="168" t="s">
        <v>2535</v>
      </c>
      <c r="D10" s="302">
        <v>2.25</v>
      </c>
      <c r="E10" s="168">
        <v>250</v>
      </c>
      <c r="F10" s="168" t="s">
        <v>573</v>
      </c>
      <c r="G10" s="168">
        <v>230</v>
      </c>
      <c r="H10" s="219"/>
      <c r="I10" s="269" t="s">
        <v>2536</v>
      </c>
      <c r="J10" s="227">
        <v>5.7500000000000002E-2</v>
      </c>
      <c r="K10" s="610">
        <v>2E-3</v>
      </c>
      <c r="L10" s="219">
        <v>7860</v>
      </c>
      <c r="M10" s="222">
        <v>1</v>
      </c>
      <c r="N10" s="322">
        <f>IF(J10="",D10*M10,D10*J10*K10*L10*M10)</f>
        <v>2.0337750000000003</v>
      </c>
    </row>
    <row r="11" spans="1:14" ht="28.8" x14ac:dyDescent="0.3">
      <c r="A11" s="720">
        <v>20</v>
      </c>
      <c r="B11" s="225" t="s">
        <v>2537</v>
      </c>
      <c r="C11" s="720" t="s">
        <v>2538</v>
      </c>
      <c r="D11" s="302">
        <v>15</v>
      </c>
      <c r="E11" s="720">
        <v>0.1</v>
      </c>
      <c r="F11" s="720" t="s">
        <v>856</v>
      </c>
      <c r="G11" s="720"/>
      <c r="H11" s="754"/>
      <c r="I11" s="756"/>
      <c r="J11" s="769"/>
      <c r="K11" s="754"/>
      <c r="L11" s="754"/>
      <c r="M11" s="720"/>
      <c r="N11" s="770">
        <f>E11*D11</f>
        <v>1.5</v>
      </c>
    </row>
    <row r="12" spans="1:14" x14ac:dyDescent="0.3">
      <c r="A12" s="720">
        <v>30</v>
      </c>
      <c r="B12" s="225" t="s">
        <v>2539</v>
      </c>
      <c r="C12" s="720" t="s">
        <v>2540</v>
      </c>
      <c r="D12" s="302">
        <v>2.5</v>
      </c>
      <c r="E12" s="720">
        <v>0.1</v>
      </c>
      <c r="F12" s="720" t="s">
        <v>627</v>
      </c>
      <c r="G12" s="720"/>
      <c r="H12" s="754"/>
      <c r="I12" s="771"/>
      <c r="J12" s="769"/>
      <c r="K12" s="754"/>
      <c r="L12" s="756"/>
      <c r="M12" s="720"/>
      <c r="N12" s="770">
        <f>D12*E12</f>
        <v>0.25</v>
      </c>
    </row>
    <row r="13" spans="1:14" x14ac:dyDescent="0.3">
      <c r="A13" s="772"/>
      <c r="B13" s="772"/>
      <c r="C13" s="772"/>
      <c r="D13" s="772"/>
      <c r="E13" s="772"/>
      <c r="F13" s="772"/>
      <c r="G13" s="772"/>
      <c r="H13" s="772"/>
      <c r="I13" s="772"/>
      <c r="J13" s="772"/>
      <c r="K13" s="772"/>
      <c r="L13" s="772"/>
      <c r="M13" s="773" t="s">
        <v>547</v>
      </c>
      <c r="N13" s="774">
        <f>N10+N11+N12</f>
        <v>3.7837750000000003</v>
      </c>
    </row>
    <row r="14" spans="1:14" x14ac:dyDescent="0.3">
      <c r="A14" s="760"/>
      <c r="B14" s="760"/>
      <c r="C14" s="760"/>
      <c r="D14" s="760"/>
      <c r="E14" s="760"/>
      <c r="F14" s="760"/>
      <c r="G14" s="760"/>
      <c r="H14" s="760"/>
      <c r="I14" s="760"/>
      <c r="J14" s="760"/>
      <c r="K14" s="760"/>
      <c r="L14" s="760"/>
      <c r="M14" s="760"/>
      <c r="N14" s="760"/>
    </row>
    <row r="15" spans="1:14" x14ac:dyDescent="0.3">
      <c r="A15" s="767" t="s">
        <v>544</v>
      </c>
      <c r="B15" s="768" t="s">
        <v>548</v>
      </c>
      <c r="C15" s="768" t="s">
        <v>549</v>
      </c>
      <c r="D15" s="768" t="s">
        <v>550</v>
      </c>
      <c r="E15" s="768" t="s">
        <v>551</v>
      </c>
      <c r="F15" s="768" t="s">
        <v>28</v>
      </c>
      <c r="G15" s="768" t="s">
        <v>552</v>
      </c>
      <c r="H15" s="768" t="s">
        <v>553</v>
      </c>
      <c r="I15" s="768" t="s">
        <v>547</v>
      </c>
      <c r="J15" s="772"/>
      <c r="K15" s="772"/>
      <c r="L15" s="772"/>
      <c r="M15" s="772"/>
      <c r="N15" s="772"/>
    </row>
    <row r="16" spans="1:14" ht="28.8" x14ac:dyDescent="0.3">
      <c r="A16" s="168">
        <v>10</v>
      </c>
      <c r="B16" s="180" t="s">
        <v>589</v>
      </c>
      <c r="C16" s="171" t="s">
        <v>590</v>
      </c>
      <c r="D16" s="323">
        <v>1.3</v>
      </c>
      <c r="E16" s="168" t="s">
        <v>556</v>
      </c>
      <c r="F16" s="168">
        <v>1</v>
      </c>
      <c r="G16" s="168"/>
      <c r="H16" s="168"/>
      <c r="I16" s="323">
        <f>D16*F16</f>
        <v>1.3</v>
      </c>
      <c r="J16" s="760"/>
      <c r="K16" s="760"/>
      <c r="L16" s="760"/>
      <c r="M16" s="760"/>
      <c r="N16" s="760"/>
    </row>
    <row r="17" spans="1:14" x14ac:dyDescent="0.3">
      <c r="A17" s="720">
        <v>20</v>
      </c>
      <c r="B17" s="180" t="s">
        <v>591</v>
      </c>
      <c r="C17" s="171" t="s">
        <v>2541</v>
      </c>
      <c r="D17" s="243">
        <v>0.01</v>
      </c>
      <c r="E17" s="168" t="s">
        <v>593</v>
      </c>
      <c r="F17" s="168">
        <v>100</v>
      </c>
      <c r="G17" s="168" t="s">
        <v>598</v>
      </c>
      <c r="H17" s="168">
        <v>3</v>
      </c>
      <c r="I17" s="323">
        <f>D17*F17*H17</f>
        <v>3</v>
      </c>
      <c r="J17" s="760"/>
      <c r="K17" s="760"/>
      <c r="L17" s="760"/>
      <c r="M17" s="760"/>
      <c r="N17" s="760"/>
    </row>
    <row r="18" spans="1:14" x14ac:dyDescent="0.3">
      <c r="A18" s="168">
        <v>30</v>
      </c>
      <c r="B18" s="180" t="s">
        <v>749</v>
      </c>
      <c r="C18" s="734" t="s">
        <v>2542</v>
      </c>
      <c r="D18" s="734">
        <v>0.125</v>
      </c>
      <c r="E18" s="180" t="s">
        <v>556</v>
      </c>
      <c r="F18" s="720">
        <v>1</v>
      </c>
      <c r="G18" s="720"/>
      <c r="H18" s="720"/>
      <c r="I18" s="770">
        <f>D18*F18</f>
        <v>0.125</v>
      </c>
      <c r="J18" s="760"/>
      <c r="K18" s="760"/>
      <c r="L18" s="760"/>
      <c r="M18" s="760"/>
      <c r="N18" s="760"/>
    </row>
    <row r="19" spans="1:14" x14ac:dyDescent="0.3">
      <c r="A19" s="720">
        <v>40</v>
      </c>
      <c r="B19" s="180" t="s">
        <v>1131</v>
      </c>
      <c r="C19" s="734" t="s">
        <v>2543</v>
      </c>
      <c r="D19" s="734">
        <v>0.06</v>
      </c>
      <c r="E19" s="720" t="s">
        <v>593</v>
      </c>
      <c r="F19" s="720">
        <v>100</v>
      </c>
      <c r="G19" s="720"/>
      <c r="H19" s="720"/>
      <c r="I19" s="770">
        <f>D19*F19</f>
        <v>6</v>
      </c>
      <c r="J19" s="760"/>
      <c r="K19" s="760"/>
      <c r="L19" s="760"/>
      <c r="M19" s="760"/>
      <c r="N19" s="760"/>
    </row>
    <row r="20" spans="1:14" x14ac:dyDescent="0.3">
      <c r="A20" s="168">
        <v>50</v>
      </c>
      <c r="B20" s="180" t="s">
        <v>1028</v>
      </c>
      <c r="C20" s="720" t="s">
        <v>2544</v>
      </c>
      <c r="D20" s="734">
        <v>0.02</v>
      </c>
      <c r="E20" s="720" t="s">
        <v>593</v>
      </c>
      <c r="F20" s="720">
        <v>100</v>
      </c>
      <c r="G20" s="720"/>
      <c r="H20" s="720"/>
      <c r="I20" s="770">
        <f>F20*D20</f>
        <v>2</v>
      </c>
      <c r="J20" s="760"/>
      <c r="K20" s="760"/>
      <c r="L20" s="760"/>
      <c r="M20" s="760"/>
      <c r="N20" s="760"/>
    </row>
    <row r="21" spans="1:14" x14ac:dyDescent="0.3">
      <c r="A21" s="720">
        <v>60</v>
      </c>
      <c r="B21" s="180" t="s">
        <v>749</v>
      </c>
      <c r="C21" s="734" t="s">
        <v>2545</v>
      </c>
      <c r="D21" s="734">
        <v>0.125</v>
      </c>
      <c r="E21" s="649" t="s">
        <v>556</v>
      </c>
      <c r="F21" s="720">
        <v>1</v>
      </c>
      <c r="G21" s="720"/>
      <c r="H21" s="720"/>
      <c r="I21" s="770">
        <f>D21*F21</f>
        <v>0.125</v>
      </c>
      <c r="J21" s="772"/>
      <c r="K21" s="772"/>
      <c r="L21" s="772"/>
      <c r="M21" s="772"/>
      <c r="N21" s="772"/>
    </row>
    <row r="22" spans="1:14" x14ac:dyDescent="0.3">
      <c r="A22" s="772"/>
      <c r="B22" s="772"/>
      <c r="C22" s="772"/>
      <c r="D22" s="772"/>
      <c r="E22" s="772"/>
      <c r="F22" s="772"/>
      <c r="G22" s="772"/>
      <c r="H22" s="773" t="s">
        <v>547</v>
      </c>
      <c r="I22" s="774">
        <f>SUM(I16:I21)</f>
        <v>12.55</v>
      </c>
      <c r="J22" s="760"/>
      <c r="K22" s="760"/>
      <c r="L22" s="760"/>
      <c r="M22" s="760"/>
      <c r="N22" s="760"/>
    </row>
    <row r="23" spans="1:14" x14ac:dyDescent="0.3">
      <c r="A23" s="760"/>
      <c r="B23" s="760"/>
      <c r="C23" s="760"/>
      <c r="D23" s="760"/>
      <c r="E23" s="760"/>
      <c r="F23" s="760"/>
      <c r="G23" s="760"/>
      <c r="H23" s="760"/>
      <c r="I23" s="760"/>
    </row>
    <row r="24" spans="1:14" s="178" customFormat="1" x14ac:dyDescent="0.3">
      <c r="A24" s="161"/>
      <c r="B24" s="161"/>
      <c r="C24" s="161"/>
      <c r="D24" s="161"/>
      <c r="E24" s="161"/>
      <c r="F24" s="161"/>
      <c r="G24" s="161"/>
      <c r="H24" s="161"/>
      <c r="I24" s="161"/>
    </row>
    <row r="25" spans="1:14" x14ac:dyDescent="0.3">
      <c r="A25" s="178"/>
      <c r="B25" s="178"/>
      <c r="C25" s="178"/>
      <c r="D25" s="178"/>
      <c r="E25" s="178"/>
      <c r="F25" s="178"/>
      <c r="G25" s="178"/>
      <c r="H25" s="178"/>
      <c r="I25" s="178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</row>
    <row r="28" spans="1:14" x14ac:dyDescent="0.3">
      <c r="A28" s="178"/>
      <c r="B28" s="178"/>
      <c r="C28" s="178"/>
      <c r="D28" s="178"/>
      <c r="E28" s="178"/>
      <c r="F28" s="178"/>
      <c r="G28" s="178"/>
      <c r="H28" s="178"/>
      <c r="I28" s="178"/>
    </row>
  </sheetData>
  <pageMargins left="0.5" right="0.5" top="0.75" bottom="0.75" header="0.3" footer="0.3"/>
  <pageSetup paperSize="9" scale="63" orientation="landscape"/>
  <headerFooter alignWithMargins="0"/>
  <ignoredErrors>
    <ignoredError sqref="I17" formula="1"/>
  </ignoredErrors>
</worksheet>
</file>

<file path=xl/worksheets/sheet2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O25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5.4414062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5" x14ac:dyDescent="0.3">
      <c r="A1" s="747" t="s">
        <v>523</v>
      </c>
      <c r="B1" s="161" t="s">
        <v>524</v>
      </c>
      <c r="J1" s="748" t="s">
        <v>528</v>
      </c>
      <c r="K1" s="163">
        <v>81</v>
      </c>
      <c r="M1" s="747" t="s">
        <v>546</v>
      </c>
      <c r="N1" s="336">
        <f>N11+I20</f>
        <v>5.4952275999999998</v>
      </c>
    </row>
    <row r="2" spans="1:15" x14ac:dyDescent="0.3">
      <c r="A2" s="747" t="s">
        <v>532</v>
      </c>
      <c r="B2" s="161" t="s">
        <v>13</v>
      </c>
      <c r="D2" s="747" t="s">
        <v>536</v>
      </c>
      <c r="M2" s="747" t="s">
        <v>533</v>
      </c>
      <c r="N2" s="165">
        <v>1</v>
      </c>
    </row>
    <row r="3" spans="1:15" x14ac:dyDescent="0.3">
      <c r="A3" s="747" t="s">
        <v>534</v>
      </c>
      <c r="B3" s="161" t="s">
        <v>363</v>
      </c>
      <c r="D3" s="747" t="s">
        <v>538</v>
      </c>
      <c r="J3" s="747" t="s">
        <v>536</v>
      </c>
    </row>
    <row r="4" spans="1:15" x14ac:dyDescent="0.3">
      <c r="A4" s="747" t="s">
        <v>545</v>
      </c>
      <c r="B4" s="166" t="s">
        <v>2546</v>
      </c>
      <c r="D4" s="747" t="s">
        <v>541</v>
      </c>
      <c r="J4" s="747" t="s">
        <v>538</v>
      </c>
      <c r="M4" s="747" t="s">
        <v>539</v>
      </c>
      <c r="N4" s="336">
        <f>N1*N2</f>
        <v>5.4952275999999998</v>
      </c>
    </row>
    <row r="5" spans="1:15" x14ac:dyDescent="0.3">
      <c r="A5" s="747" t="s">
        <v>537</v>
      </c>
      <c r="B5" s="166" t="s">
        <v>375</v>
      </c>
      <c r="J5" s="747" t="s">
        <v>541</v>
      </c>
    </row>
    <row r="6" spans="1:15" x14ac:dyDescent="0.3">
      <c r="A6" s="747" t="s">
        <v>540</v>
      </c>
      <c r="B6" s="161" t="s">
        <v>36</v>
      </c>
    </row>
    <row r="7" spans="1:15" x14ac:dyDescent="0.3">
      <c r="A7" s="747" t="s">
        <v>542</v>
      </c>
    </row>
    <row r="9" spans="1:15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  <c r="O9" s="178"/>
    </row>
    <row r="10" spans="1:15" ht="43.2" x14ac:dyDescent="0.3">
      <c r="A10" s="168">
        <v>10</v>
      </c>
      <c r="B10" s="168" t="s">
        <v>596</v>
      </c>
      <c r="C10" s="168" t="s">
        <v>2515</v>
      </c>
      <c r="D10" s="302">
        <v>2.25</v>
      </c>
      <c r="E10" s="168">
        <v>12.5</v>
      </c>
      <c r="F10" s="168" t="s">
        <v>573</v>
      </c>
      <c r="G10" s="168"/>
      <c r="H10" s="219"/>
      <c r="I10" s="269" t="s">
        <v>2547</v>
      </c>
      <c r="J10" s="227">
        <v>4.8999999999999998E-4</v>
      </c>
      <c r="K10" s="610">
        <v>0.104</v>
      </c>
      <c r="L10" s="219">
        <v>7860</v>
      </c>
      <c r="M10" s="222">
        <v>1</v>
      </c>
      <c r="N10" s="322">
        <f>IF(J10="",D10*M10,D10*J10*K10*L10*M10)</f>
        <v>0.90122759999999991</v>
      </c>
    </row>
    <row r="11" spans="1:15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0.90122759999999991</v>
      </c>
      <c r="O11" s="178"/>
    </row>
    <row r="13" spans="1:15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  <c r="O13" s="178"/>
    </row>
    <row r="14" spans="1:15" ht="28.8" x14ac:dyDescent="0.3">
      <c r="A14" s="168">
        <v>10</v>
      </c>
      <c r="B14" s="180" t="s">
        <v>589</v>
      </c>
      <c r="C14" s="193" t="s">
        <v>1635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</f>
        <v>1.3</v>
      </c>
    </row>
    <row r="15" spans="1:15" x14ac:dyDescent="0.3">
      <c r="A15" s="168">
        <v>20</v>
      </c>
      <c r="B15" s="171" t="s">
        <v>1612</v>
      </c>
      <c r="C15" s="193" t="s">
        <v>2548</v>
      </c>
      <c r="D15" s="243">
        <v>0.35</v>
      </c>
      <c r="E15" s="168" t="s">
        <v>843</v>
      </c>
      <c r="F15" s="168">
        <v>1</v>
      </c>
      <c r="G15" s="168"/>
      <c r="H15" s="168"/>
      <c r="I15" s="323">
        <f>F15*D15</f>
        <v>0.35</v>
      </c>
    </row>
    <row r="16" spans="1:15" ht="28.8" x14ac:dyDescent="0.3">
      <c r="A16" s="168">
        <v>30</v>
      </c>
      <c r="B16" s="180" t="s">
        <v>609</v>
      </c>
      <c r="C16" s="184" t="s">
        <v>2549</v>
      </c>
      <c r="D16" s="323">
        <v>0.04</v>
      </c>
      <c r="E16" s="168" t="s">
        <v>610</v>
      </c>
      <c r="F16" s="168">
        <v>13.4</v>
      </c>
      <c r="G16" s="184" t="s">
        <v>2525</v>
      </c>
      <c r="H16" s="168">
        <v>3</v>
      </c>
      <c r="I16" s="322">
        <f>F16*D16*H16</f>
        <v>1.6080000000000001</v>
      </c>
    </row>
    <row r="17" spans="1:15" x14ac:dyDescent="0.3">
      <c r="A17" s="168">
        <v>40</v>
      </c>
      <c r="B17" s="180" t="s">
        <v>785</v>
      </c>
      <c r="C17" s="193" t="s">
        <v>2527</v>
      </c>
      <c r="D17" s="323">
        <v>0.65</v>
      </c>
      <c r="E17" s="168" t="s">
        <v>556</v>
      </c>
      <c r="F17" s="168">
        <v>1</v>
      </c>
      <c r="G17" s="168"/>
      <c r="H17" s="168"/>
      <c r="I17" s="323">
        <f>D17</f>
        <v>0.65</v>
      </c>
    </row>
    <row r="18" spans="1:15" ht="28.8" x14ac:dyDescent="0.3">
      <c r="A18" s="168">
        <v>50</v>
      </c>
      <c r="B18" s="180" t="s">
        <v>609</v>
      </c>
      <c r="C18" s="184" t="s">
        <v>2550</v>
      </c>
      <c r="D18" s="323">
        <v>0.04</v>
      </c>
      <c r="E18" s="168" t="s">
        <v>610</v>
      </c>
      <c r="F18" s="168">
        <v>2.8</v>
      </c>
      <c r="G18" s="184" t="s">
        <v>2525</v>
      </c>
      <c r="H18" s="168">
        <v>3</v>
      </c>
      <c r="I18" s="322">
        <f>F18*D18*H18</f>
        <v>0.33599999999999997</v>
      </c>
    </row>
    <row r="19" spans="1:15" x14ac:dyDescent="0.3">
      <c r="A19" s="168">
        <v>60</v>
      </c>
      <c r="B19" s="171" t="s">
        <v>1612</v>
      </c>
      <c r="C19" s="193" t="s">
        <v>2551</v>
      </c>
      <c r="D19" s="243">
        <v>0.35</v>
      </c>
      <c r="E19" s="168" t="s">
        <v>843</v>
      </c>
      <c r="F19" s="168">
        <v>1</v>
      </c>
      <c r="G19" s="168"/>
      <c r="H19" s="168"/>
      <c r="I19" s="323">
        <f>F19*D19</f>
        <v>0.35</v>
      </c>
    </row>
    <row r="20" spans="1:15" x14ac:dyDescent="0.3">
      <c r="A20" s="178"/>
      <c r="B20" s="178"/>
      <c r="C20" s="178"/>
      <c r="D20" s="178"/>
      <c r="E20" s="178"/>
      <c r="F20" s="178"/>
      <c r="G20" s="178"/>
      <c r="H20" s="752" t="s">
        <v>547</v>
      </c>
      <c r="I20" s="753">
        <f>SUM(I14:I19)</f>
        <v>4.5939999999999994</v>
      </c>
      <c r="J20" s="178"/>
      <c r="K20" s="178"/>
      <c r="L20" s="178"/>
      <c r="M20" s="178"/>
      <c r="N20" s="178"/>
      <c r="O20" s="178"/>
    </row>
    <row r="22" spans="1:15" s="178" customFormat="1" x14ac:dyDescent="0.3">
      <c r="A22" s="161"/>
      <c r="B22" s="161"/>
      <c r="C22" s="161"/>
      <c r="D22" s="161"/>
      <c r="E22" s="161"/>
      <c r="F22" s="161"/>
      <c r="G22" s="161"/>
      <c r="H22" s="161"/>
      <c r="I22" s="161"/>
      <c r="J22" s="161"/>
      <c r="K22" s="161"/>
      <c r="L22" s="161"/>
      <c r="M22" s="161"/>
      <c r="N22" s="161"/>
      <c r="O22" s="161"/>
    </row>
    <row r="25" spans="1:15" s="178" customFormat="1" x14ac:dyDescent="0.3"/>
  </sheetData>
  <pageMargins left="0.5" right="0.5" top="0.75" bottom="0.75" header="0.3" footer="0.3"/>
  <pageSetup paperSize="9" scale="67" orientation="landscape"/>
  <headerFooter alignWithMargins="0"/>
</worksheet>
</file>

<file path=xl/worksheets/sheet2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P17"/>
  <sheetViews>
    <sheetView showGridLines="0" workbookViewId="0"/>
  </sheetViews>
  <sheetFormatPr defaultColWidth="11.5546875" defaultRowHeight="14.4" x14ac:dyDescent="0.3"/>
  <cols>
    <col min="2" max="2" width="27.44140625" customWidth="1"/>
    <col min="3" max="3" width="20" customWidth="1"/>
    <col min="13" max="13" width="13.6640625" bestFit="1" customWidth="1"/>
  </cols>
  <sheetData>
    <row r="1" spans="1:16" x14ac:dyDescent="0.3">
      <c r="A1" s="747" t="s">
        <v>523</v>
      </c>
      <c r="B1" s="161" t="s">
        <v>524</v>
      </c>
      <c r="C1" s="161"/>
      <c r="D1" s="161"/>
      <c r="E1" s="161"/>
      <c r="F1" s="161"/>
      <c r="G1" s="161"/>
      <c r="H1" s="161"/>
      <c r="I1" s="161"/>
      <c r="J1" s="748" t="s">
        <v>528</v>
      </c>
      <c r="K1" s="163">
        <v>81</v>
      </c>
      <c r="L1" s="161"/>
      <c r="M1" s="747" t="s">
        <v>546</v>
      </c>
      <c r="N1" s="336">
        <f>N11+I16</f>
        <v>1.102162708</v>
      </c>
      <c r="O1" s="161"/>
      <c r="P1" s="161"/>
    </row>
    <row r="2" spans="1:16" x14ac:dyDescent="0.3">
      <c r="A2" s="747" t="s">
        <v>532</v>
      </c>
      <c r="B2" s="161" t="s">
        <v>13</v>
      </c>
      <c r="C2" s="161"/>
      <c r="D2" s="747" t="s">
        <v>536</v>
      </c>
      <c r="E2" s="161"/>
      <c r="F2" s="161"/>
      <c r="G2" s="161"/>
      <c r="H2" s="161"/>
      <c r="I2" s="161"/>
      <c r="J2" s="161"/>
      <c r="K2" s="161"/>
      <c r="L2" s="161"/>
      <c r="M2" s="747" t="s">
        <v>533</v>
      </c>
      <c r="N2" s="165">
        <v>1</v>
      </c>
      <c r="O2" s="161"/>
      <c r="P2" s="161"/>
    </row>
    <row r="3" spans="1:16" x14ac:dyDescent="0.3">
      <c r="A3" s="747" t="s">
        <v>534</v>
      </c>
      <c r="B3" s="161" t="s">
        <v>363</v>
      </c>
      <c r="C3" s="161"/>
      <c r="D3" s="747" t="s">
        <v>538</v>
      </c>
      <c r="E3" s="161"/>
      <c r="F3" s="161"/>
      <c r="G3" s="161"/>
      <c r="H3" s="161"/>
      <c r="I3" s="161"/>
      <c r="J3" s="747" t="s">
        <v>536</v>
      </c>
      <c r="K3" s="161"/>
      <c r="L3" s="161"/>
      <c r="M3" s="161"/>
      <c r="N3" s="161"/>
      <c r="O3" s="161"/>
      <c r="P3" s="161"/>
    </row>
    <row r="4" spans="1:16" x14ac:dyDescent="0.3">
      <c r="A4" s="747" t="s">
        <v>545</v>
      </c>
      <c r="B4" s="166" t="s">
        <v>2552</v>
      </c>
      <c r="C4" s="161"/>
      <c r="D4" s="747" t="s">
        <v>541</v>
      </c>
      <c r="E4" s="161"/>
      <c r="F4" s="161"/>
      <c r="G4" s="161"/>
      <c r="H4" s="161"/>
      <c r="I4" s="161"/>
      <c r="J4" s="747" t="s">
        <v>538</v>
      </c>
      <c r="K4" s="161"/>
      <c r="L4" s="161"/>
      <c r="M4" s="747" t="s">
        <v>539</v>
      </c>
      <c r="N4" s="336">
        <f>N1*N2</f>
        <v>1.102162708</v>
      </c>
      <c r="O4" s="161"/>
      <c r="P4" s="161"/>
    </row>
    <row r="5" spans="1:16" x14ac:dyDescent="0.3">
      <c r="A5" s="747" t="s">
        <v>537</v>
      </c>
      <c r="B5" s="166" t="s">
        <v>377</v>
      </c>
      <c r="C5" s="161"/>
      <c r="D5" s="161"/>
      <c r="E5" s="161"/>
      <c r="F5" s="161"/>
      <c r="G5" s="161"/>
      <c r="H5" s="161"/>
      <c r="I5" s="161"/>
      <c r="J5" s="747" t="s">
        <v>541</v>
      </c>
      <c r="K5" s="161"/>
      <c r="L5" s="161"/>
      <c r="M5" s="161"/>
      <c r="N5" s="161"/>
      <c r="O5" s="161"/>
      <c r="P5" s="161"/>
    </row>
    <row r="6" spans="1:16" x14ac:dyDescent="0.3">
      <c r="A6" s="747" t="s">
        <v>540</v>
      </c>
      <c r="B6" s="161" t="s">
        <v>36</v>
      </c>
      <c r="C6" s="161"/>
      <c r="D6" s="161"/>
      <c r="E6" s="161"/>
      <c r="F6" s="161"/>
      <c r="G6" s="161"/>
      <c r="H6" s="161"/>
      <c r="I6" s="161"/>
      <c r="J6" s="161"/>
      <c r="K6" s="161"/>
      <c r="L6" s="161"/>
      <c r="M6" s="161"/>
      <c r="N6" s="161"/>
      <c r="O6" s="161"/>
      <c r="P6" s="161"/>
    </row>
    <row r="7" spans="1:16" x14ac:dyDescent="0.3">
      <c r="A7" s="747" t="s">
        <v>542</v>
      </c>
      <c r="B7" s="161"/>
      <c r="C7" s="161"/>
      <c r="D7" s="161"/>
      <c r="E7" s="161"/>
      <c r="F7" s="161"/>
      <c r="G7" s="161"/>
      <c r="H7" s="161"/>
      <c r="I7" s="161"/>
      <c r="J7" s="161"/>
      <c r="K7" s="161"/>
      <c r="L7" s="161"/>
      <c r="M7" s="161"/>
      <c r="N7" s="161"/>
      <c r="O7" s="161"/>
      <c r="P7" s="161"/>
    </row>
    <row r="8" spans="1:16" x14ac:dyDescent="0.3">
      <c r="A8" s="161"/>
      <c r="B8" s="161"/>
      <c r="C8" s="161"/>
      <c r="D8" s="161"/>
      <c r="E8" s="161"/>
      <c r="F8" s="161"/>
      <c r="G8" s="161"/>
      <c r="H8" s="161"/>
      <c r="I8" s="161"/>
      <c r="J8" s="161"/>
      <c r="K8" s="161"/>
      <c r="L8" s="161"/>
      <c r="M8" s="161"/>
      <c r="N8" s="161"/>
      <c r="O8" s="161"/>
      <c r="P8" s="161"/>
    </row>
    <row r="9" spans="1:16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  <c r="O9" s="178"/>
      <c r="P9" s="161"/>
    </row>
    <row r="10" spans="1:16" ht="28.8" x14ac:dyDescent="0.3">
      <c r="A10" s="168">
        <v>10</v>
      </c>
      <c r="B10" s="168" t="s">
        <v>894</v>
      </c>
      <c r="C10" s="184" t="s">
        <v>2553</v>
      </c>
      <c r="D10" s="302">
        <v>2.25</v>
      </c>
      <c r="E10" s="168">
        <v>10</v>
      </c>
      <c r="F10" s="168" t="s">
        <v>573</v>
      </c>
      <c r="G10" s="168">
        <v>8.5</v>
      </c>
      <c r="H10" s="219" t="s">
        <v>573</v>
      </c>
      <c r="I10" s="269"/>
      <c r="J10" s="227">
        <v>8.7000000000000001E-5</v>
      </c>
      <c r="K10" s="610">
        <v>6.6400000000000001E-2</v>
      </c>
      <c r="L10" s="219">
        <v>7860</v>
      </c>
      <c r="M10" s="222">
        <v>1</v>
      </c>
      <c r="N10" s="322">
        <f>IF(J10="",D10*M10,D10*J10*K10*L10*M10)</f>
        <v>0.102162708</v>
      </c>
      <c r="O10" s="161"/>
      <c r="P10" s="161"/>
    </row>
    <row r="11" spans="1:16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0.102162708</v>
      </c>
      <c r="O11" s="178"/>
      <c r="P11" s="161"/>
    </row>
    <row r="12" spans="1:16" x14ac:dyDescent="0.3">
      <c r="A12" s="161"/>
      <c r="B12" s="161"/>
      <c r="C12" s="161"/>
      <c r="D12" s="161"/>
      <c r="E12" s="161"/>
      <c r="F12" s="161"/>
      <c r="G12" s="161"/>
      <c r="H12" s="161"/>
      <c r="I12" s="161"/>
      <c r="J12" s="161"/>
      <c r="K12" s="161"/>
      <c r="L12" s="161"/>
      <c r="M12" s="161"/>
      <c r="N12" s="161"/>
      <c r="O12" s="161"/>
      <c r="P12" s="161"/>
    </row>
    <row r="13" spans="1:16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  <c r="O13" s="178"/>
      <c r="P13" s="161"/>
    </row>
    <row r="14" spans="1:16" x14ac:dyDescent="0.3">
      <c r="A14" s="168">
        <v>10</v>
      </c>
      <c r="B14" s="775" t="s">
        <v>668</v>
      </c>
      <c r="C14" s="414" t="s">
        <v>1428</v>
      </c>
      <c r="D14" s="776">
        <v>0.15</v>
      </c>
      <c r="E14" s="168" t="s">
        <v>593</v>
      </c>
      <c r="F14" s="168">
        <v>2</v>
      </c>
      <c r="G14" s="168"/>
      <c r="H14" s="168"/>
      <c r="I14" s="170">
        <f>F14*D14</f>
        <v>0.3</v>
      </c>
      <c r="J14" s="161"/>
      <c r="K14" s="161"/>
      <c r="L14" s="161"/>
      <c r="M14" s="161"/>
      <c r="N14" s="161"/>
      <c r="O14" s="161"/>
      <c r="P14" s="161"/>
    </row>
    <row r="15" spans="1:16" ht="28.8" x14ac:dyDescent="0.3">
      <c r="A15" s="168">
        <v>20</v>
      </c>
      <c r="B15" s="414" t="s">
        <v>1612</v>
      </c>
      <c r="C15" s="193" t="s">
        <v>2551</v>
      </c>
      <c r="D15" s="243">
        <v>0.35</v>
      </c>
      <c r="E15" s="168" t="s">
        <v>843</v>
      </c>
      <c r="F15" s="168">
        <v>2</v>
      </c>
      <c r="G15" s="168"/>
      <c r="H15" s="168"/>
      <c r="I15" s="323">
        <f>F15*D15</f>
        <v>0.7</v>
      </c>
      <c r="J15" s="161"/>
      <c r="K15" s="161"/>
      <c r="L15" s="161"/>
      <c r="M15" s="161"/>
      <c r="N15" s="161"/>
      <c r="O15" s="161"/>
      <c r="P15" s="161"/>
    </row>
    <row r="16" spans="1:16" x14ac:dyDescent="0.3">
      <c r="A16" s="178"/>
      <c r="B16" s="178"/>
      <c r="C16" s="178"/>
      <c r="D16" s="178"/>
      <c r="E16" s="178"/>
      <c r="F16" s="178"/>
      <c r="G16" s="178"/>
      <c r="H16" s="752" t="s">
        <v>547</v>
      </c>
      <c r="I16" s="753">
        <f>SUM(I14:I15)</f>
        <v>1</v>
      </c>
      <c r="J16" s="178"/>
      <c r="K16" s="178"/>
      <c r="L16" s="178"/>
      <c r="M16" s="178"/>
      <c r="N16" s="178"/>
      <c r="O16" s="178"/>
      <c r="P16" s="161"/>
    </row>
    <row r="17" spans="1:16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  <c r="L17" s="161"/>
      <c r="M17" s="161"/>
      <c r="N17" s="161"/>
      <c r="O17" s="161"/>
      <c r="P17" s="178"/>
    </row>
  </sheetData>
  <pageMargins left="0.78740157499999996" right="0.78740157499999996" top="0.984251969" bottom="0.984251969" header="0.5" footer="0.5"/>
  <pageSetup paperSize="9" scale="69" fitToHeight="0" orientation="landscape"/>
  <headerFooter alignWithMargins="0"/>
</worksheet>
</file>

<file path=xl/worksheets/sheet2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N17"/>
  <sheetViews>
    <sheetView showGridLines="0" workbookViewId="0"/>
  </sheetViews>
  <sheetFormatPr defaultColWidth="11.5546875" defaultRowHeight="14.4" x14ac:dyDescent="0.3"/>
  <cols>
    <col min="2" max="2" width="27.6640625" customWidth="1"/>
    <col min="3" max="3" width="16" customWidth="1"/>
    <col min="13" max="13" width="13.6640625" bestFit="1" customWidth="1"/>
  </cols>
  <sheetData>
    <row r="1" spans="1:14" x14ac:dyDescent="0.3">
      <c r="A1" s="747" t="s">
        <v>523</v>
      </c>
      <c r="B1" s="161" t="s">
        <v>524</v>
      </c>
      <c r="C1" s="161"/>
      <c r="D1" s="161"/>
      <c r="E1" s="161"/>
      <c r="F1" s="161"/>
      <c r="G1" s="161"/>
      <c r="H1" s="161"/>
      <c r="I1" s="161"/>
      <c r="J1" s="748" t="s">
        <v>528</v>
      </c>
      <c r="K1" s="163">
        <v>81</v>
      </c>
      <c r="L1" s="161"/>
      <c r="M1" s="747" t="s">
        <v>546</v>
      </c>
      <c r="N1" s="336">
        <f>N11+I16</f>
        <v>1.7412647084999999</v>
      </c>
    </row>
    <row r="2" spans="1:14" x14ac:dyDescent="0.3">
      <c r="A2" s="747" t="s">
        <v>532</v>
      </c>
      <c r="B2" s="161" t="s">
        <v>13</v>
      </c>
      <c r="C2" s="161"/>
      <c r="D2" s="747" t="s">
        <v>536</v>
      </c>
      <c r="E2" s="161"/>
      <c r="F2" s="161"/>
      <c r="G2" s="161"/>
      <c r="H2" s="161"/>
      <c r="I2" s="161"/>
      <c r="J2" s="161"/>
      <c r="K2" s="161"/>
      <c r="L2" s="161"/>
      <c r="M2" s="747" t="s">
        <v>533</v>
      </c>
      <c r="N2" s="165">
        <v>1</v>
      </c>
    </row>
    <row r="3" spans="1:14" x14ac:dyDescent="0.3">
      <c r="A3" s="747" t="s">
        <v>534</v>
      </c>
      <c r="B3" s="161" t="s">
        <v>363</v>
      </c>
      <c r="C3" s="161"/>
      <c r="D3" s="747" t="s">
        <v>538</v>
      </c>
      <c r="E3" s="161"/>
      <c r="F3" s="161"/>
      <c r="G3" s="161"/>
      <c r="H3" s="161"/>
      <c r="I3" s="161"/>
      <c r="J3" s="747" t="s">
        <v>536</v>
      </c>
      <c r="K3" s="161"/>
      <c r="L3" s="161"/>
      <c r="M3" s="161"/>
      <c r="N3" s="161"/>
    </row>
    <row r="4" spans="1:14" x14ac:dyDescent="0.3">
      <c r="A4" s="747" t="s">
        <v>545</v>
      </c>
      <c r="B4" s="166" t="s">
        <v>2554</v>
      </c>
      <c r="C4" s="161"/>
      <c r="D4" s="747" t="s">
        <v>541</v>
      </c>
      <c r="E4" s="161"/>
      <c r="F4" s="161"/>
      <c r="G4" s="161"/>
      <c r="H4" s="161"/>
      <c r="I4" s="161"/>
      <c r="J4" s="747" t="s">
        <v>538</v>
      </c>
      <c r="K4" s="161"/>
      <c r="L4" s="161"/>
      <c r="M4" s="747" t="s">
        <v>539</v>
      </c>
      <c r="N4" s="336">
        <f>N1*N2</f>
        <v>1.7412647084999999</v>
      </c>
    </row>
    <row r="5" spans="1:14" x14ac:dyDescent="0.3">
      <c r="A5" s="747" t="s">
        <v>537</v>
      </c>
      <c r="B5" s="166" t="s">
        <v>379</v>
      </c>
      <c r="C5" s="161"/>
      <c r="D5" s="161"/>
      <c r="E5" s="161"/>
      <c r="F5" s="161"/>
      <c r="G5" s="161"/>
      <c r="H5" s="161"/>
      <c r="I5" s="161"/>
      <c r="J5" s="747" t="s">
        <v>541</v>
      </c>
      <c r="K5" s="161"/>
      <c r="L5" s="161"/>
      <c r="M5" s="161"/>
      <c r="N5" s="161"/>
    </row>
    <row r="6" spans="1:14" x14ac:dyDescent="0.3">
      <c r="A6" s="747" t="s">
        <v>540</v>
      </c>
      <c r="B6" s="161" t="s">
        <v>36</v>
      </c>
      <c r="C6" s="161"/>
      <c r="D6" s="161"/>
      <c r="E6" s="161"/>
      <c r="F6" s="161"/>
      <c r="G6" s="161"/>
      <c r="H6" s="161"/>
      <c r="I6" s="161"/>
      <c r="J6" s="161"/>
      <c r="K6" s="161"/>
      <c r="L6" s="161"/>
      <c r="M6" s="161"/>
      <c r="N6" s="161"/>
    </row>
    <row r="7" spans="1:14" x14ac:dyDescent="0.3">
      <c r="A7" s="747" t="s">
        <v>542</v>
      </c>
      <c r="B7" s="161"/>
      <c r="C7" s="161"/>
      <c r="D7" s="161"/>
      <c r="E7" s="161"/>
      <c r="F7" s="161"/>
      <c r="G7" s="161"/>
      <c r="H7" s="161"/>
      <c r="I7" s="161"/>
      <c r="J7" s="161"/>
      <c r="K7" s="161"/>
      <c r="L7" s="161"/>
      <c r="M7" s="161"/>
      <c r="N7" s="161"/>
    </row>
    <row r="8" spans="1:14" x14ac:dyDescent="0.3">
      <c r="A8" s="161"/>
      <c r="B8" s="161"/>
      <c r="C8" s="161"/>
      <c r="D8" s="161"/>
      <c r="E8" s="161"/>
      <c r="F8" s="161"/>
      <c r="G8" s="161"/>
      <c r="H8" s="161"/>
      <c r="I8" s="161"/>
      <c r="J8" s="161"/>
      <c r="K8" s="161"/>
      <c r="L8" s="161"/>
      <c r="M8" s="161"/>
      <c r="N8" s="161"/>
    </row>
    <row r="9" spans="1:14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</row>
    <row r="10" spans="1:14" ht="28.8" x14ac:dyDescent="0.3">
      <c r="A10" s="168">
        <v>10</v>
      </c>
      <c r="B10" s="168" t="s">
        <v>894</v>
      </c>
      <c r="C10" s="184" t="s">
        <v>2553</v>
      </c>
      <c r="D10" s="302">
        <v>2.25</v>
      </c>
      <c r="E10" s="168">
        <v>10</v>
      </c>
      <c r="F10" s="168" t="s">
        <v>573</v>
      </c>
      <c r="G10" s="168">
        <v>8.5</v>
      </c>
      <c r="H10" s="219" t="s">
        <v>573</v>
      </c>
      <c r="I10" s="269"/>
      <c r="J10" s="227">
        <v>8.7000000000000001E-5</v>
      </c>
      <c r="K10" s="610">
        <v>0.25430000000000003</v>
      </c>
      <c r="L10" s="219">
        <v>7860</v>
      </c>
      <c r="M10" s="222">
        <v>1</v>
      </c>
      <c r="N10" s="322">
        <f>IF(J10="",D10*M10,D10*J10*K10*L10*M10)</f>
        <v>0.39126470850000006</v>
      </c>
    </row>
    <row r="11" spans="1:14" x14ac:dyDescent="0.3">
      <c r="A11" s="178"/>
      <c r="B11" s="178"/>
      <c r="C11" s="2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0.39126470850000006</v>
      </c>
    </row>
    <row r="12" spans="1:14" x14ac:dyDescent="0.3">
      <c r="A12" s="161"/>
      <c r="B12" s="161"/>
      <c r="C12" s="248"/>
      <c r="D12" s="161"/>
      <c r="E12" s="161"/>
      <c r="F12" s="161"/>
      <c r="G12" s="161"/>
      <c r="H12" s="161"/>
      <c r="I12" s="161"/>
      <c r="J12" s="161"/>
      <c r="K12" s="161"/>
      <c r="L12" s="161"/>
      <c r="M12" s="161"/>
      <c r="N12" s="161"/>
    </row>
    <row r="13" spans="1:14" x14ac:dyDescent="0.3">
      <c r="A13" s="749" t="s">
        <v>544</v>
      </c>
      <c r="B13" s="749" t="s">
        <v>548</v>
      </c>
      <c r="C13" s="777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315" t="s">
        <v>668</v>
      </c>
      <c r="C14" s="193" t="s">
        <v>1428</v>
      </c>
      <c r="D14" s="776">
        <v>0.15</v>
      </c>
      <c r="E14" s="168" t="s">
        <v>593</v>
      </c>
      <c r="F14" s="168">
        <v>2</v>
      </c>
      <c r="G14" s="168"/>
      <c r="H14" s="168"/>
      <c r="I14" s="170">
        <f>F14*D14</f>
        <v>0.3</v>
      </c>
      <c r="J14" s="161"/>
      <c r="K14" s="161"/>
      <c r="L14" s="161"/>
      <c r="M14" s="161"/>
      <c r="N14" s="161"/>
    </row>
    <row r="15" spans="1:14" ht="43.2" x14ac:dyDescent="0.3">
      <c r="A15" s="168">
        <v>20</v>
      </c>
      <c r="B15" s="171" t="s">
        <v>1612</v>
      </c>
      <c r="C15" s="193" t="s">
        <v>2551</v>
      </c>
      <c r="D15" s="243">
        <v>0.35</v>
      </c>
      <c r="E15" s="168" t="s">
        <v>843</v>
      </c>
      <c r="F15" s="168">
        <v>3</v>
      </c>
      <c r="G15" s="168"/>
      <c r="H15" s="168"/>
      <c r="I15" s="323">
        <f>F15*D15</f>
        <v>1.0499999999999998</v>
      </c>
      <c r="J15" s="161"/>
      <c r="K15" s="161"/>
      <c r="L15" s="161"/>
      <c r="M15" s="161"/>
      <c r="N15" s="161"/>
    </row>
    <row r="16" spans="1:14" x14ac:dyDescent="0.3">
      <c r="A16" s="178"/>
      <c r="B16" s="178"/>
      <c r="C16" s="178"/>
      <c r="D16" s="178"/>
      <c r="E16" s="178"/>
      <c r="F16" s="178"/>
      <c r="G16" s="178"/>
      <c r="H16" s="752" t="s">
        <v>547</v>
      </c>
      <c r="I16" s="753">
        <f>SUM(I14:I15)</f>
        <v>1.3499999999999999</v>
      </c>
      <c r="J16" s="178"/>
      <c r="K16" s="178"/>
      <c r="L16" s="178"/>
      <c r="M16" s="178"/>
      <c r="N16" s="178"/>
    </row>
    <row r="17" spans="1:14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  <c r="L17" s="161"/>
      <c r="M17" s="161"/>
      <c r="N17" s="161"/>
    </row>
  </sheetData>
  <pageMargins left="0.78740157499999996" right="0.78740157499999996" top="0.984251969" bottom="0.984251969" header="0.5" footer="0.5"/>
  <pageSetup paperSize="9" scale="70" fitToHeight="0" orientation="landscape"/>
  <headerFooter alignWithMargins="0"/>
</worksheet>
</file>

<file path=xl/worksheets/sheet2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</sheetPr>
  <dimension ref="A1:N25"/>
  <sheetViews>
    <sheetView showGridLines="0" workbookViewId="0"/>
  </sheetViews>
  <sheetFormatPr defaultColWidth="11.5546875" defaultRowHeight="14.4" x14ac:dyDescent="0.3"/>
  <cols>
    <col min="2" max="2" width="21.88671875" customWidth="1"/>
    <col min="3" max="3" width="15.109375" customWidth="1"/>
    <col min="13" max="13" width="13.33203125" customWidth="1"/>
  </cols>
  <sheetData>
    <row r="1" spans="1:14" x14ac:dyDescent="0.3">
      <c r="A1" s="747" t="s">
        <v>523</v>
      </c>
      <c r="B1" s="161" t="s">
        <v>524</v>
      </c>
      <c r="C1" s="161"/>
      <c r="D1" s="161"/>
      <c r="E1" s="161"/>
      <c r="F1" s="161"/>
      <c r="G1" s="161"/>
      <c r="H1" s="161"/>
      <c r="I1" s="161"/>
      <c r="J1" s="748" t="s">
        <v>528</v>
      </c>
      <c r="K1" s="163">
        <v>81</v>
      </c>
      <c r="L1" s="161"/>
      <c r="M1" s="747" t="s">
        <v>546</v>
      </c>
      <c r="N1" s="336">
        <f>N11+I18</f>
        <v>8.4876375666434107</v>
      </c>
    </row>
    <row r="2" spans="1:14" x14ac:dyDescent="0.3">
      <c r="A2" s="747" t="s">
        <v>532</v>
      </c>
      <c r="B2" s="161" t="s">
        <v>13</v>
      </c>
      <c r="C2" s="359" t="s">
        <v>732</v>
      </c>
      <c r="D2" s="778" t="s">
        <v>536</v>
      </c>
      <c r="E2" s="161"/>
      <c r="F2" s="161"/>
      <c r="G2" s="161"/>
      <c r="H2" s="161"/>
      <c r="I2" s="161"/>
      <c r="J2" s="161"/>
      <c r="K2" s="161"/>
      <c r="L2" s="161"/>
      <c r="M2" s="747" t="s">
        <v>533</v>
      </c>
      <c r="N2" s="165">
        <v>1</v>
      </c>
    </row>
    <row r="3" spans="1:14" x14ac:dyDescent="0.3">
      <c r="A3" s="747" t="s">
        <v>534</v>
      </c>
      <c r="B3" s="161" t="s">
        <v>363</v>
      </c>
      <c r="C3" s="161"/>
      <c r="D3" s="747" t="s">
        <v>538</v>
      </c>
      <c r="E3" s="161"/>
      <c r="F3" s="161"/>
      <c r="G3" s="161"/>
      <c r="H3" s="161"/>
      <c r="I3" s="161"/>
      <c r="J3" s="747" t="s">
        <v>536</v>
      </c>
      <c r="K3" s="161"/>
      <c r="L3" s="161"/>
      <c r="M3" s="161"/>
      <c r="N3" s="161"/>
    </row>
    <row r="4" spans="1:14" x14ac:dyDescent="0.3">
      <c r="A4" s="747" t="s">
        <v>545</v>
      </c>
      <c r="B4" s="161" t="s">
        <v>2531</v>
      </c>
      <c r="C4" s="161"/>
      <c r="D4" s="747" t="s">
        <v>541</v>
      </c>
      <c r="E4" s="161"/>
      <c r="F4" s="161"/>
      <c r="G4" s="161"/>
      <c r="H4" s="161"/>
      <c r="I4" s="161"/>
      <c r="J4" s="747" t="s">
        <v>538</v>
      </c>
      <c r="K4" s="161"/>
      <c r="L4" s="161"/>
      <c r="M4" s="747" t="s">
        <v>539</v>
      </c>
      <c r="N4" s="336">
        <f>N1*N2</f>
        <v>8.4876375666434107</v>
      </c>
    </row>
    <row r="5" spans="1:14" x14ac:dyDescent="0.3">
      <c r="A5" s="747" t="s">
        <v>537</v>
      </c>
      <c r="B5" s="166" t="s">
        <v>2555</v>
      </c>
      <c r="C5" s="161"/>
      <c r="D5" s="161"/>
      <c r="E5" s="161"/>
      <c r="F5" s="161"/>
      <c r="G5" s="161"/>
      <c r="H5" s="161"/>
      <c r="I5" s="161"/>
      <c r="J5" s="747" t="s">
        <v>541</v>
      </c>
      <c r="K5" s="161"/>
      <c r="L5" s="161"/>
      <c r="M5" s="161"/>
      <c r="N5" s="161"/>
    </row>
    <row r="6" spans="1:14" x14ac:dyDescent="0.3">
      <c r="A6" s="747" t="s">
        <v>540</v>
      </c>
      <c r="B6" s="161" t="s">
        <v>36</v>
      </c>
      <c r="C6" s="161"/>
      <c r="D6" s="161"/>
      <c r="E6" s="161"/>
      <c r="F6" s="161"/>
      <c r="G6" s="161"/>
      <c r="H6" s="161"/>
      <c r="I6" s="161"/>
      <c r="J6" s="161"/>
      <c r="K6" s="161"/>
      <c r="L6" s="161"/>
      <c r="M6" s="161"/>
      <c r="N6" s="161"/>
    </row>
    <row r="7" spans="1:14" x14ac:dyDescent="0.3">
      <c r="A7" s="747" t="s">
        <v>542</v>
      </c>
      <c r="B7" s="161"/>
      <c r="C7" s="161"/>
      <c r="D7" s="161"/>
      <c r="E7" s="161"/>
      <c r="F7" s="161"/>
      <c r="G7" s="161"/>
      <c r="H7" s="161"/>
      <c r="I7" s="161"/>
      <c r="J7" s="161"/>
      <c r="K7" s="161"/>
      <c r="L7" s="161"/>
      <c r="M7" s="161"/>
      <c r="N7" s="161"/>
    </row>
    <row r="8" spans="1:14" x14ac:dyDescent="0.3">
      <c r="A8" s="161"/>
      <c r="B8" s="161"/>
      <c r="C8" s="161"/>
      <c r="D8" s="161"/>
      <c r="E8" s="161"/>
      <c r="F8" s="161"/>
      <c r="G8" s="161"/>
      <c r="H8" s="161"/>
      <c r="I8" s="161"/>
      <c r="J8" s="161"/>
      <c r="K8" s="161"/>
      <c r="L8" s="161"/>
      <c r="M8" s="161"/>
      <c r="N8" s="161"/>
    </row>
    <row r="9" spans="1:14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</row>
    <row r="10" spans="1:14" ht="28.8" x14ac:dyDescent="0.3">
      <c r="A10" s="168">
        <v>10</v>
      </c>
      <c r="B10" s="626" t="s">
        <v>720</v>
      </c>
      <c r="C10" s="168"/>
      <c r="D10" s="323">
        <v>4.2</v>
      </c>
      <c r="E10" s="168">
        <v>0.06</v>
      </c>
      <c r="F10" s="168" t="s">
        <v>644</v>
      </c>
      <c r="G10" s="168"/>
      <c r="H10" s="219"/>
      <c r="I10" s="269" t="s">
        <v>2532</v>
      </c>
      <c r="J10" s="624">
        <f>E10*E10*PI()/4</f>
        <v>2.8274333882308137E-3</v>
      </c>
      <c r="K10" s="228">
        <v>4.2000000000000003E-2</v>
      </c>
      <c r="L10" s="219">
        <v>2710</v>
      </c>
      <c r="M10" s="168">
        <v>1</v>
      </c>
      <c r="N10" s="322">
        <f>IF(J10="",D10*M10,D10*J10*K10*L10*M10)</f>
        <v>1.3516375666434113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1">
        <f>SUM(N10:N10)</f>
        <v>1.3516375666434113</v>
      </c>
    </row>
    <row r="12" spans="1:14" x14ac:dyDescent="0.3">
      <c r="A12" s="161"/>
      <c r="B12" s="161"/>
      <c r="C12" s="161"/>
      <c r="D12" s="161"/>
      <c r="E12" s="161"/>
      <c r="F12" s="161"/>
      <c r="G12" s="161"/>
      <c r="H12" s="161"/>
      <c r="I12" s="161"/>
      <c r="J12" s="161"/>
      <c r="K12" s="161"/>
      <c r="L12" s="161"/>
      <c r="M12" s="161"/>
      <c r="N12" s="161"/>
    </row>
    <row r="13" spans="1:14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</row>
    <row r="14" spans="1:14" ht="32.4" customHeight="1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D14*F14</f>
        <v>1.3</v>
      </c>
      <c r="J14" s="161"/>
      <c r="K14" s="161"/>
      <c r="L14" s="161"/>
      <c r="M14" s="161"/>
      <c r="N14" s="161"/>
    </row>
    <row r="15" spans="1:14" ht="43.2" x14ac:dyDescent="0.3">
      <c r="A15" s="168">
        <v>20</v>
      </c>
      <c r="B15" s="180" t="s">
        <v>609</v>
      </c>
      <c r="C15" s="193" t="s">
        <v>2533</v>
      </c>
      <c r="D15" s="323">
        <v>0.04</v>
      </c>
      <c r="E15" s="168" t="s">
        <v>610</v>
      </c>
      <c r="F15" s="168">
        <v>87.15</v>
      </c>
      <c r="G15" s="184" t="s">
        <v>710</v>
      </c>
      <c r="H15" s="168">
        <v>1</v>
      </c>
      <c r="I15" s="323">
        <f>D15*F15</f>
        <v>3.4860000000000002</v>
      </c>
      <c r="J15" s="161"/>
      <c r="K15" s="161"/>
      <c r="L15" s="161"/>
      <c r="M15" s="161"/>
      <c r="N15" s="161"/>
    </row>
    <row r="16" spans="1:14" ht="31.2" customHeight="1" x14ac:dyDescent="0.3">
      <c r="A16" s="168">
        <v>30</v>
      </c>
      <c r="B16" s="180" t="s">
        <v>589</v>
      </c>
      <c r="C16" s="193"/>
      <c r="D16" s="323">
        <v>1.3</v>
      </c>
      <c r="E16" s="168"/>
      <c r="F16" s="168">
        <v>1</v>
      </c>
      <c r="G16" s="168"/>
      <c r="H16" s="168"/>
      <c r="I16" s="323">
        <f>D16*F16</f>
        <v>1.3</v>
      </c>
      <c r="J16" s="161"/>
      <c r="K16" s="161"/>
      <c r="L16" s="161"/>
      <c r="M16" s="161"/>
      <c r="N16" s="161"/>
    </row>
    <row r="17" spans="1:14" ht="46.2" customHeight="1" x14ac:dyDescent="0.3">
      <c r="A17" s="168">
        <v>40</v>
      </c>
      <c r="B17" s="180" t="s">
        <v>791</v>
      </c>
      <c r="C17" s="193" t="s">
        <v>2534</v>
      </c>
      <c r="D17" s="323">
        <v>0.35</v>
      </c>
      <c r="E17" s="168" t="s">
        <v>843</v>
      </c>
      <c r="F17" s="168">
        <v>3</v>
      </c>
      <c r="G17" s="168"/>
      <c r="H17" s="168"/>
      <c r="I17" s="323">
        <f>D17*F17</f>
        <v>1.0499999999999998</v>
      </c>
      <c r="J17" s="161"/>
      <c r="K17" s="161"/>
      <c r="L17" s="161"/>
      <c r="M17" s="161"/>
      <c r="N17" s="161"/>
    </row>
    <row r="18" spans="1:14" x14ac:dyDescent="0.3">
      <c r="A18" s="178"/>
      <c r="B18" s="178"/>
      <c r="C18" s="178"/>
      <c r="D18" s="178"/>
      <c r="E18" s="178"/>
      <c r="F18" s="178"/>
      <c r="G18" s="178"/>
      <c r="H18" s="750" t="s">
        <v>547</v>
      </c>
      <c r="I18" s="751">
        <f>SUM(I14:I17)</f>
        <v>7.1360000000000001</v>
      </c>
      <c r="J18" s="161"/>
      <c r="K18" s="161"/>
      <c r="L18" s="161"/>
      <c r="M18" s="161"/>
      <c r="N18" s="161"/>
    </row>
    <row r="19" spans="1:14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0" spans="1:14" x14ac:dyDescent="0.3">
      <c r="A20" s="161"/>
      <c r="B20" s="161"/>
      <c r="C20" s="161"/>
      <c r="D20" s="161"/>
      <c r="E20" s="161"/>
      <c r="F20" s="161"/>
      <c r="G20" s="161"/>
      <c r="H20" s="161"/>
      <c r="I20" s="161"/>
      <c r="J20" s="161"/>
      <c r="K20" s="161"/>
      <c r="L20" s="161"/>
      <c r="M20" s="161"/>
      <c r="N20" s="161"/>
    </row>
    <row r="21" spans="1:14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2" spans="1:14" x14ac:dyDescent="0.3">
      <c r="A22" s="161"/>
      <c r="B22" s="161"/>
      <c r="C22" s="161"/>
      <c r="D22" s="161"/>
      <c r="E22" s="161"/>
      <c r="F22" s="161"/>
      <c r="G22" s="161"/>
      <c r="H22" s="161"/>
      <c r="I22" s="161"/>
      <c r="J22" s="161"/>
      <c r="K22" s="161"/>
      <c r="L22" s="161"/>
      <c r="M22" s="161"/>
      <c r="N22" s="161"/>
    </row>
    <row r="23" spans="1:14" x14ac:dyDescent="0.3">
      <c r="A23" s="161"/>
      <c r="B23" s="161"/>
      <c r="C23" s="161"/>
      <c r="D23" s="161"/>
      <c r="E23" s="161"/>
      <c r="F23" s="161"/>
      <c r="G23" s="161"/>
      <c r="H23" s="161"/>
      <c r="I23" s="161"/>
      <c r="J23" s="178"/>
      <c r="K23" s="178"/>
      <c r="L23" s="178"/>
      <c r="M23" s="178"/>
      <c r="N23" s="178"/>
    </row>
    <row r="24" spans="1:14" x14ac:dyDescent="0.3">
      <c r="A24" s="161"/>
      <c r="B24" s="161"/>
      <c r="C24" s="161"/>
      <c r="D24" s="161"/>
      <c r="E24" s="161"/>
      <c r="F24" s="161"/>
      <c r="G24" s="161"/>
      <c r="H24" s="161"/>
      <c r="I24" s="161"/>
      <c r="J24" s="161"/>
      <c r="K24" s="161"/>
      <c r="L24" s="161"/>
      <c r="M24" s="161"/>
      <c r="N24" s="161"/>
    </row>
    <row r="25" spans="1:14" x14ac:dyDescent="0.3">
      <c r="A25" s="161"/>
      <c r="B25" s="161"/>
      <c r="C25" s="161"/>
      <c r="D25" s="161"/>
      <c r="E25" s="161"/>
      <c r="F25" s="161"/>
      <c r="G25" s="161"/>
      <c r="H25" s="161"/>
      <c r="I25" s="161"/>
      <c r="J25" s="161"/>
      <c r="K25" s="178"/>
      <c r="L25" s="178"/>
      <c r="M25" s="178"/>
      <c r="N25" s="178"/>
    </row>
  </sheetData>
  <hyperlinks>
    <hyperlink ref="D2" location="'Steering Spacer drawing'!A1" display="FileLink1"/>
  </hyperlinks>
  <pageMargins left="0.7" right="0.7" top="0.75" bottom="0.75" header="0.3" footer="0.3"/>
</worksheet>
</file>

<file path=xl/worksheets/sheet2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499984740745262"/>
    <pageSetUpPr fitToPage="1"/>
  </sheetPr>
  <dimension ref="A1:N31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5.44140625" style="161" customWidth="1"/>
    <col min="3" max="3" width="34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5.77734375" style="161" bestFit="1" customWidth="1"/>
    <col min="9" max="9" width="18.44140625" style="16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109375" style="161" customWidth="1"/>
    <col min="14" max="14" width="10" style="161" customWidth="1"/>
    <col min="15" max="16384" width="9.109375" style="161"/>
  </cols>
  <sheetData>
    <row r="1" spans="1:14" x14ac:dyDescent="0.3">
      <c r="A1" s="729" t="s">
        <v>523</v>
      </c>
      <c r="B1" s="161" t="s">
        <v>524</v>
      </c>
      <c r="J1" s="729" t="s">
        <v>528</v>
      </c>
      <c r="K1" s="163">
        <v>81</v>
      </c>
      <c r="M1" s="729" t="s">
        <v>531</v>
      </c>
      <c r="N1" s="336">
        <f>E12+N17+I23+J27+I31</f>
        <v>32.543058933333334</v>
      </c>
    </row>
    <row r="2" spans="1:14" x14ac:dyDescent="0.3">
      <c r="A2" s="729" t="s">
        <v>532</v>
      </c>
      <c r="B2" s="161" t="s">
        <v>13</v>
      </c>
      <c r="M2" s="729" t="s">
        <v>533</v>
      </c>
      <c r="N2" s="165">
        <v>1</v>
      </c>
    </row>
    <row r="3" spans="1:14" x14ac:dyDescent="0.3">
      <c r="A3" s="729" t="s">
        <v>534</v>
      </c>
      <c r="B3" s="161" t="s">
        <v>382</v>
      </c>
      <c r="J3" s="729" t="s">
        <v>536</v>
      </c>
    </row>
    <row r="4" spans="1:14" x14ac:dyDescent="0.3">
      <c r="A4" s="729" t="s">
        <v>537</v>
      </c>
      <c r="B4" s="166" t="s">
        <v>381</v>
      </c>
      <c r="J4" s="729" t="s">
        <v>538</v>
      </c>
      <c r="M4" s="729" t="s">
        <v>539</v>
      </c>
      <c r="N4" s="336">
        <f>N1*N2</f>
        <v>32.543058933333334</v>
      </c>
    </row>
    <row r="5" spans="1:14" x14ac:dyDescent="0.3">
      <c r="A5" s="729" t="s">
        <v>540</v>
      </c>
      <c r="B5" s="161" t="s">
        <v>36</v>
      </c>
      <c r="J5" s="729" t="s">
        <v>541</v>
      </c>
    </row>
    <row r="6" spans="1:14" x14ac:dyDescent="0.3">
      <c r="A6" s="729" t="s">
        <v>542</v>
      </c>
      <c r="B6" s="161" t="s">
        <v>1117</v>
      </c>
    </row>
    <row r="8" spans="1:14" x14ac:dyDescent="0.3">
      <c r="A8" s="730" t="s">
        <v>544</v>
      </c>
      <c r="B8" s="730" t="s">
        <v>545</v>
      </c>
      <c r="C8" s="730" t="s">
        <v>546</v>
      </c>
      <c r="D8" s="730" t="s">
        <v>28</v>
      </c>
      <c r="E8" s="730" t="s">
        <v>547</v>
      </c>
    </row>
    <row r="9" spans="1:14" x14ac:dyDescent="0.3">
      <c r="A9" s="168">
        <v>10</v>
      </c>
      <c r="B9" s="168" t="s">
        <v>384</v>
      </c>
      <c r="C9" s="323">
        <f>'ST 02001'!N1</f>
        <v>5.9925924500000001</v>
      </c>
      <c r="D9" s="171">
        <v>1</v>
      </c>
      <c r="E9" s="322">
        <f>C9*D9</f>
        <v>5.9925924500000001</v>
      </c>
    </row>
    <row r="10" spans="1:14" x14ac:dyDescent="0.3">
      <c r="A10" s="168">
        <v>20</v>
      </c>
      <c r="B10" s="168" t="s">
        <v>386</v>
      </c>
      <c r="C10" s="323">
        <f>'ST 02002'!N1</f>
        <v>11.041439</v>
      </c>
      <c r="D10" s="171">
        <v>1</v>
      </c>
      <c r="E10" s="322">
        <f>C10*D10</f>
        <v>11.041439</v>
      </c>
    </row>
    <row r="11" spans="1:14" x14ac:dyDescent="0.3">
      <c r="A11" s="168">
        <v>30</v>
      </c>
      <c r="B11" s="168" t="s">
        <v>388</v>
      </c>
      <c r="C11" s="323">
        <f>'ST 02003'!N1</f>
        <v>9.7414389999999997</v>
      </c>
      <c r="D11" s="171">
        <v>1</v>
      </c>
      <c r="E11" s="322">
        <f>C11*D11</f>
        <v>9.7414389999999997</v>
      </c>
    </row>
    <row r="12" spans="1:14" x14ac:dyDescent="0.3">
      <c r="D12" s="779" t="s">
        <v>547</v>
      </c>
      <c r="E12" s="739">
        <f>SUM(E9:E11)</f>
        <v>26.77547045</v>
      </c>
    </row>
    <row r="14" spans="1:14" x14ac:dyDescent="0.3">
      <c r="A14" s="730" t="s">
        <v>544</v>
      </c>
      <c r="B14" s="730" t="s">
        <v>581</v>
      </c>
      <c r="C14" s="730" t="s">
        <v>549</v>
      </c>
      <c r="D14" s="730" t="s">
        <v>550</v>
      </c>
      <c r="E14" s="730" t="s">
        <v>567</v>
      </c>
      <c r="F14" s="730" t="s">
        <v>568</v>
      </c>
      <c r="G14" s="730" t="s">
        <v>569</v>
      </c>
      <c r="H14" s="730" t="s">
        <v>570</v>
      </c>
      <c r="I14" s="730" t="s">
        <v>582</v>
      </c>
      <c r="J14" s="730" t="s">
        <v>583</v>
      </c>
      <c r="K14" s="730" t="s">
        <v>584</v>
      </c>
      <c r="L14" s="730" t="s">
        <v>585</v>
      </c>
      <c r="M14" s="730" t="s">
        <v>28</v>
      </c>
      <c r="N14" s="730" t="s">
        <v>547</v>
      </c>
    </row>
    <row r="15" spans="1:14" ht="28.8" x14ac:dyDescent="0.3">
      <c r="A15" s="168">
        <v>10</v>
      </c>
      <c r="B15" s="225" t="s">
        <v>1809</v>
      </c>
      <c r="C15" s="184" t="s">
        <v>2556</v>
      </c>
      <c r="D15" s="780">
        <v>1</v>
      </c>
      <c r="E15" s="256"/>
      <c r="F15" s="168"/>
      <c r="G15" s="168"/>
      <c r="H15" s="219"/>
      <c r="I15" s="220"/>
      <c r="J15" s="221"/>
      <c r="K15" s="219"/>
      <c r="L15" s="219"/>
      <c r="M15" s="222">
        <v>4</v>
      </c>
      <c r="N15" s="322">
        <f>M15*D15</f>
        <v>4</v>
      </c>
    </row>
    <row r="16" spans="1:14" x14ac:dyDescent="0.3">
      <c r="A16" s="168">
        <v>20</v>
      </c>
      <c r="B16" s="168" t="s">
        <v>596</v>
      </c>
      <c r="C16" s="168" t="s">
        <v>2557</v>
      </c>
      <c r="D16" s="302">
        <v>2.25</v>
      </c>
      <c r="E16" s="408">
        <v>5</v>
      </c>
      <c r="F16" s="168" t="s">
        <v>573</v>
      </c>
      <c r="G16" s="168"/>
      <c r="H16" s="219"/>
      <c r="I16" s="220" t="s">
        <v>2558</v>
      </c>
      <c r="J16" s="221"/>
      <c r="K16" s="219"/>
      <c r="L16" s="219">
        <v>7860</v>
      </c>
      <c r="M16" s="332">
        <v>3</v>
      </c>
      <c r="N16" s="322">
        <f>4/3*3.14*E16*E16*E16*L16*D16*0.000000001</f>
        <v>9.2551500000000019E-3</v>
      </c>
    </row>
    <row r="17" spans="1:14" s="178" customFormat="1" x14ac:dyDescent="0.3">
      <c r="M17" s="779" t="s">
        <v>547</v>
      </c>
      <c r="N17" s="739">
        <f>SUM(N15:N16)</f>
        <v>4.0092551500000004</v>
      </c>
    </row>
    <row r="19" spans="1:14" s="178" customFormat="1" x14ac:dyDescent="0.3">
      <c r="A19" s="730" t="s">
        <v>544</v>
      </c>
      <c r="B19" s="730" t="s">
        <v>548</v>
      </c>
      <c r="C19" s="730" t="s">
        <v>549</v>
      </c>
      <c r="D19" s="730" t="s">
        <v>550</v>
      </c>
      <c r="E19" s="730" t="s">
        <v>551</v>
      </c>
      <c r="F19" s="730" t="s">
        <v>28</v>
      </c>
      <c r="G19" s="730" t="s">
        <v>552</v>
      </c>
      <c r="H19" s="730" t="s">
        <v>553</v>
      </c>
      <c r="I19" s="730" t="s">
        <v>547</v>
      </c>
    </row>
    <row r="20" spans="1:14" ht="28.8" x14ac:dyDescent="0.3">
      <c r="A20" s="168">
        <v>10</v>
      </c>
      <c r="B20" s="180" t="s">
        <v>749</v>
      </c>
      <c r="C20" s="193" t="s">
        <v>2559</v>
      </c>
      <c r="D20" s="734">
        <v>0.125</v>
      </c>
      <c r="E20" s="180" t="s">
        <v>556</v>
      </c>
      <c r="F20" s="168">
        <v>1</v>
      </c>
      <c r="G20" s="168"/>
      <c r="H20" s="168"/>
      <c r="I20" s="323">
        <f>D20*F20</f>
        <v>0.125</v>
      </c>
    </row>
    <row r="21" spans="1:14" x14ac:dyDescent="0.3">
      <c r="A21" s="168">
        <v>20</v>
      </c>
      <c r="B21" s="180" t="s">
        <v>760</v>
      </c>
      <c r="C21" s="171" t="s">
        <v>2560</v>
      </c>
      <c r="D21" s="734">
        <v>0.19</v>
      </c>
      <c r="E21" s="180" t="s">
        <v>556</v>
      </c>
      <c r="F21" s="168">
        <v>1</v>
      </c>
      <c r="G21" s="168"/>
      <c r="H21" s="168"/>
      <c r="I21" s="323">
        <f>D21*F21</f>
        <v>0.19</v>
      </c>
    </row>
    <row r="22" spans="1:14" ht="28.8" x14ac:dyDescent="0.3">
      <c r="A22" s="168">
        <v>30</v>
      </c>
      <c r="B22" s="180" t="s">
        <v>650</v>
      </c>
      <c r="C22" s="184" t="s">
        <v>2561</v>
      </c>
      <c r="D22" s="734">
        <v>0.15</v>
      </c>
      <c r="E22" s="168" t="s">
        <v>593</v>
      </c>
      <c r="F22" s="168">
        <v>6.2</v>
      </c>
      <c r="G22" s="168"/>
      <c r="H22" s="168"/>
      <c r="I22" s="170">
        <f>D22*F22</f>
        <v>0.92999999999999994</v>
      </c>
    </row>
    <row r="23" spans="1:14" s="178" customFormat="1" x14ac:dyDescent="0.3">
      <c r="H23" s="731" t="s">
        <v>547</v>
      </c>
      <c r="I23" s="781">
        <f>SUM(I20:I22)</f>
        <v>1.2449999999999999</v>
      </c>
      <c r="J23" s="782"/>
    </row>
    <row r="25" spans="1:14" s="178" customFormat="1" x14ac:dyDescent="0.3">
      <c r="A25" s="730" t="s">
        <v>544</v>
      </c>
      <c r="B25" s="730" t="s">
        <v>566</v>
      </c>
      <c r="C25" s="730" t="s">
        <v>549</v>
      </c>
      <c r="D25" s="730" t="s">
        <v>550</v>
      </c>
      <c r="E25" s="730" t="s">
        <v>567</v>
      </c>
      <c r="F25" s="730" t="s">
        <v>568</v>
      </c>
      <c r="G25" s="730" t="s">
        <v>569</v>
      </c>
      <c r="H25" s="730" t="s">
        <v>570</v>
      </c>
      <c r="I25" s="730" t="s">
        <v>28</v>
      </c>
      <c r="J25" s="730" t="s">
        <v>547</v>
      </c>
    </row>
    <row r="26" spans="1:14" x14ac:dyDescent="0.3">
      <c r="A26" s="168">
        <v>10</v>
      </c>
      <c r="B26" s="225" t="s">
        <v>2562</v>
      </c>
      <c r="C26" s="168" t="s">
        <v>2563</v>
      </c>
      <c r="D26" s="302">
        <v>0.18</v>
      </c>
      <c r="E26" s="168">
        <v>30</v>
      </c>
      <c r="F26" s="245" t="s">
        <v>573</v>
      </c>
      <c r="G26" s="168"/>
      <c r="H26" s="171"/>
      <c r="I26" s="327">
        <v>1</v>
      </c>
      <c r="J26" s="323">
        <f>D26*I26</f>
        <v>0.18</v>
      </c>
    </row>
    <row r="27" spans="1:14" s="178" customFormat="1" x14ac:dyDescent="0.3">
      <c r="I27" s="779" t="s">
        <v>547</v>
      </c>
      <c r="J27" s="739">
        <f>SUM(J26:J26)</f>
        <v>0.18</v>
      </c>
    </row>
    <row r="28" spans="1:14" x14ac:dyDescent="0.3">
      <c r="H28" s="326"/>
      <c r="I28" s="325"/>
    </row>
    <row r="29" spans="1:14" s="178" customFormat="1" x14ac:dyDescent="0.3">
      <c r="A29" s="730" t="s">
        <v>544</v>
      </c>
      <c r="B29" s="730" t="s">
        <v>6</v>
      </c>
      <c r="C29" s="730" t="s">
        <v>549</v>
      </c>
      <c r="D29" s="730" t="s">
        <v>550</v>
      </c>
      <c r="E29" s="730" t="s">
        <v>551</v>
      </c>
      <c r="F29" s="730" t="s">
        <v>28</v>
      </c>
      <c r="G29" s="730" t="s">
        <v>691</v>
      </c>
      <c r="H29" s="730" t="s">
        <v>736</v>
      </c>
      <c r="I29" s="730" t="s">
        <v>547</v>
      </c>
    </row>
    <row r="30" spans="1:14" x14ac:dyDescent="0.3">
      <c r="A30" s="168">
        <v>10</v>
      </c>
      <c r="B30" s="168" t="s">
        <v>1767</v>
      </c>
      <c r="C30" s="168" t="s">
        <v>1732</v>
      </c>
      <c r="D30" s="170">
        <v>500</v>
      </c>
      <c r="E30" s="168" t="s">
        <v>695</v>
      </c>
      <c r="F30" s="168">
        <v>2</v>
      </c>
      <c r="G30" s="168">
        <v>3000</v>
      </c>
      <c r="H30" s="168">
        <v>1</v>
      </c>
      <c r="I30" s="223">
        <f>D30*F30/G30*H30</f>
        <v>0.33333333333333331</v>
      </c>
    </row>
    <row r="31" spans="1:14" s="178" customFormat="1" x14ac:dyDescent="0.3">
      <c r="H31" s="779" t="s">
        <v>547</v>
      </c>
      <c r="I31" s="781">
        <f>SUM(I30:I30)</f>
        <v>0.33333333333333331</v>
      </c>
    </row>
  </sheetData>
  <pageMargins left="0.5" right="0.5" top="0.75" bottom="0.75" header="0.3" footer="0.3"/>
  <pageSetup paperSize="9" scale="63" fitToHeight="0" orientation="landscape"/>
  <headerFooter alignWithMargins="0"/>
</worksheet>
</file>

<file path=xl/worksheets/sheet2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N19"/>
  <sheetViews>
    <sheetView showGridLines="0" workbookViewId="0"/>
  </sheetViews>
  <sheetFormatPr defaultColWidth="11.5546875" defaultRowHeight="14.4" x14ac:dyDescent="0.3"/>
  <cols>
    <col min="2" max="2" width="18.109375" customWidth="1"/>
    <col min="3" max="3" width="24.77734375" customWidth="1"/>
    <col min="13" max="13" width="13.6640625" bestFit="1" customWidth="1"/>
  </cols>
  <sheetData>
    <row r="1" spans="1:14" x14ac:dyDescent="0.3">
      <c r="A1" s="747" t="s">
        <v>523</v>
      </c>
      <c r="B1" s="161" t="s">
        <v>524</v>
      </c>
      <c r="C1" s="161"/>
      <c r="D1" s="161"/>
      <c r="E1" s="161"/>
      <c r="F1" s="161"/>
      <c r="G1" s="161"/>
      <c r="H1" s="161"/>
      <c r="I1" s="161"/>
      <c r="J1" s="748" t="s">
        <v>528</v>
      </c>
      <c r="K1" s="163">
        <v>81</v>
      </c>
      <c r="L1" s="161"/>
      <c r="M1" s="747" t="s">
        <v>546</v>
      </c>
      <c r="N1" s="336">
        <f>N11+I17</f>
        <v>5.9925924500000001</v>
      </c>
    </row>
    <row r="2" spans="1:14" x14ac:dyDescent="0.3">
      <c r="A2" s="747" t="s">
        <v>532</v>
      </c>
      <c r="B2" s="161" t="s">
        <v>13</v>
      </c>
      <c r="C2" s="161"/>
      <c r="D2" s="747" t="s">
        <v>536</v>
      </c>
      <c r="E2" s="161"/>
      <c r="F2" s="161"/>
      <c r="G2" s="161"/>
      <c r="H2" s="161"/>
      <c r="I2" s="161"/>
      <c r="J2" s="161"/>
      <c r="K2" s="161"/>
      <c r="L2" s="161"/>
      <c r="M2" s="747" t="s">
        <v>533</v>
      </c>
      <c r="N2" s="165">
        <v>1</v>
      </c>
    </row>
    <row r="3" spans="1:14" x14ac:dyDescent="0.3">
      <c r="A3" s="747" t="s">
        <v>534</v>
      </c>
      <c r="B3" s="161" t="s">
        <v>382</v>
      </c>
      <c r="C3" s="161"/>
      <c r="D3" s="747" t="s">
        <v>538</v>
      </c>
      <c r="E3" s="161"/>
      <c r="F3" s="161"/>
      <c r="G3" s="161"/>
      <c r="H3" s="161"/>
      <c r="I3" s="161"/>
      <c r="J3" s="747" t="s">
        <v>536</v>
      </c>
      <c r="K3" s="161"/>
      <c r="L3" s="161"/>
      <c r="M3" s="161"/>
      <c r="N3" s="161"/>
    </row>
    <row r="4" spans="1:14" x14ac:dyDescent="0.3">
      <c r="A4" s="747" t="s">
        <v>545</v>
      </c>
      <c r="B4" s="166" t="s">
        <v>384</v>
      </c>
      <c r="C4" s="161"/>
      <c r="D4" s="747" t="s">
        <v>541</v>
      </c>
      <c r="E4" s="161"/>
      <c r="F4" s="161"/>
      <c r="G4" s="161"/>
      <c r="H4" s="161"/>
      <c r="I4" s="161"/>
      <c r="J4" s="747" t="s">
        <v>538</v>
      </c>
      <c r="K4" s="161"/>
      <c r="L4" s="161"/>
      <c r="M4" s="747" t="s">
        <v>539</v>
      </c>
      <c r="N4" s="336">
        <f>N1*N2</f>
        <v>5.9925924500000001</v>
      </c>
    </row>
    <row r="5" spans="1:14" x14ac:dyDescent="0.3">
      <c r="A5" s="747" t="s">
        <v>537</v>
      </c>
      <c r="B5" s="166" t="s">
        <v>383</v>
      </c>
      <c r="C5" s="161"/>
      <c r="D5" s="161"/>
      <c r="E5" s="161"/>
      <c r="F5" s="161"/>
      <c r="G5" s="161"/>
      <c r="H5" s="161"/>
      <c r="I5" s="161"/>
      <c r="J5" s="747" t="s">
        <v>541</v>
      </c>
      <c r="K5" s="161"/>
      <c r="L5" s="161"/>
      <c r="M5" s="161"/>
      <c r="N5" s="161"/>
    </row>
    <row r="6" spans="1:14" x14ac:dyDescent="0.3">
      <c r="A6" s="747" t="s">
        <v>540</v>
      </c>
      <c r="B6" s="161" t="s">
        <v>36</v>
      </c>
      <c r="C6" s="161"/>
      <c r="D6" s="161"/>
      <c r="E6" s="161"/>
      <c r="F6" s="161"/>
      <c r="G6" s="161"/>
      <c r="H6" s="161"/>
      <c r="I6" s="161"/>
      <c r="J6" s="161"/>
      <c r="K6" s="161"/>
      <c r="L6" s="161"/>
      <c r="M6" s="161"/>
      <c r="N6" s="161"/>
    </row>
    <row r="7" spans="1:14" x14ac:dyDescent="0.3">
      <c r="A7" s="747" t="s">
        <v>542</v>
      </c>
      <c r="B7" s="161"/>
      <c r="C7" s="161"/>
      <c r="D7" s="161"/>
      <c r="E7" s="161"/>
      <c r="F7" s="161"/>
      <c r="G7" s="161"/>
      <c r="H7" s="161"/>
      <c r="I7" s="161"/>
      <c r="J7" s="161"/>
      <c r="K7" s="161"/>
      <c r="L7" s="161"/>
      <c r="M7" s="161"/>
      <c r="N7" s="161"/>
    </row>
    <row r="8" spans="1:14" x14ac:dyDescent="0.3">
      <c r="A8" s="161"/>
      <c r="B8" s="161"/>
      <c r="C8" s="161"/>
      <c r="D8" s="161"/>
      <c r="E8" s="161"/>
      <c r="F8" s="161"/>
      <c r="G8" s="161"/>
      <c r="H8" s="161"/>
      <c r="I8" s="161"/>
      <c r="J8" s="161"/>
      <c r="K8" s="161"/>
      <c r="L8" s="161"/>
      <c r="M8" s="161"/>
      <c r="N8" s="161"/>
    </row>
    <row r="9" spans="1:14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</row>
    <row r="10" spans="1:14" ht="43.2" x14ac:dyDescent="0.3">
      <c r="A10" s="168">
        <v>10</v>
      </c>
      <c r="B10" s="168" t="s">
        <v>596</v>
      </c>
      <c r="C10" s="168" t="s">
        <v>2564</v>
      </c>
      <c r="D10" s="302">
        <v>2.25</v>
      </c>
      <c r="E10" s="168">
        <v>12.5</v>
      </c>
      <c r="F10" s="168" t="s">
        <v>573</v>
      </c>
      <c r="G10" s="168"/>
      <c r="H10" s="219"/>
      <c r="I10" s="269" t="s">
        <v>2565</v>
      </c>
      <c r="J10" s="227">
        <v>4.8999999999999998E-4</v>
      </c>
      <c r="K10" s="610">
        <v>7.2999999999999995E-2</v>
      </c>
      <c r="L10" s="219">
        <v>7860</v>
      </c>
      <c r="M10" s="222">
        <v>1</v>
      </c>
      <c r="N10" s="322">
        <f>IF(J10="",D10*M10,D10*J10*K10*L10*M10)</f>
        <v>0.63259244999999986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1">
        <f>SUM(N10:N10)</f>
        <v>0.63259244999999986</v>
      </c>
    </row>
    <row r="12" spans="1:14" x14ac:dyDescent="0.3">
      <c r="A12" s="161"/>
      <c r="B12" s="161"/>
      <c r="C12" s="161"/>
      <c r="D12" s="161"/>
      <c r="E12" s="161"/>
      <c r="F12" s="161"/>
      <c r="G12" s="161"/>
      <c r="H12" s="161"/>
      <c r="I12" s="161"/>
      <c r="J12" s="161"/>
      <c r="K12" s="161"/>
      <c r="L12" s="161"/>
      <c r="M12" s="161"/>
      <c r="N12" s="161"/>
    </row>
    <row r="13" spans="1:14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 t="s">
        <v>2512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</f>
        <v>1.3</v>
      </c>
      <c r="J14" s="161"/>
      <c r="K14" s="161"/>
      <c r="L14" s="161"/>
      <c r="M14" s="161"/>
      <c r="N14" s="161"/>
    </row>
    <row r="15" spans="1:14" ht="28.8" x14ac:dyDescent="0.3">
      <c r="A15" s="168">
        <v>20</v>
      </c>
      <c r="B15" s="180" t="s">
        <v>609</v>
      </c>
      <c r="C15" s="168" t="s">
        <v>2566</v>
      </c>
      <c r="D15" s="323">
        <v>0.04</v>
      </c>
      <c r="E15" s="168" t="s">
        <v>610</v>
      </c>
      <c r="F15" s="168">
        <v>13</v>
      </c>
      <c r="G15" s="184" t="s">
        <v>2525</v>
      </c>
      <c r="H15" s="168">
        <v>3</v>
      </c>
      <c r="I15" s="322">
        <f>F15*D15*H15</f>
        <v>1.56</v>
      </c>
      <c r="J15" s="161"/>
      <c r="K15" s="161"/>
      <c r="L15" s="161"/>
      <c r="M15" s="161"/>
      <c r="N15" s="161"/>
    </row>
    <row r="16" spans="1:14" x14ac:dyDescent="0.3">
      <c r="A16" s="168">
        <v>30</v>
      </c>
      <c r="B16" s="180" t="s">
        <v>1256</v>
      </c>
      <c r="C16" s="734" t="s">
        <v>2567</v>
      </c>
      <c r="D16" s="734">
        <v>0.5</v>
      </c>
      <c r="E16" s="180" t="s">
        <v>593</v>
      </c>
      <c r="F16" s="168">
        <v>5</v>
      </c>
      <c r="G16" s="168"/>
      <c r="H16" s="168"/>
      <c r="I16" s="323">
        <f>D16*F16</f>
        <v>2.5</v>
      </c>
      <c r="J16" s="161"/>
      <c r="K16" s="161"/>
      <c r="L16" s="161"/>
      <c r="M16" s="161"/>
      <c r="N16" s="161"/>
    </row>
    <row r="17" spans="1:14" x14ac:dyDescent="0.3">
      <c r="A17" s="178"/>
      <c r="B17" s="178"/>
      <c r="C17" s="178"/>
      <c r="D17" s="178"/>
      <c r="E17" s="178"/>
      <c r="F17" s="178"/>
      <c r="G17" s="178"/>
      <c r="H17" s="750" t="s">
        <v>547</v>
      </c>
      <c r="I17" s="751">
        <f>SUM(I14:I16)</f>
        <v>5.36</v>
      </c>
      <c r="J17" s="178"/>
      <c r="K17" s="178"/>
      <c r="L17" s="178"/>
      <c r="M17" s="178"/>
      <c r="N17" s="178"/>
    </row>
    <row r="19" spans="1:14" x14ac:dyDescent="0.3">
      <c r="L19" s="153"/>
    </row>
  </sheetData>
  <pageMargins left="0.78740157499999996" right="0.78740157499999996" top="0.984251969" bottom="0.984251969" header="0.5" footer="0.5"/>
  <pageSetup paperSize="9" scale="68" fitToHeight="0" orientation="landscape"/>
  <headerFooter alignWithMargins="0"/>
</worksheet>
</file>

<file path=xl/worksheets/sheet2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N18"/>
  <sheetViews>
    <sheetView showGridLines="0" workbookViewId="0"/>
  </sheetViews>
  <sheetFormatPr defaultColWidth="11.5546875" defaultRowHeight="14.4" x14ac:dyDescent="0.3"/>
  <cols>
    <col min="2" max="2" width="18" customWidth="1"/>
    <col min="3" max="3" width="22.109375" customWidth="1"/>
    <col min="13" max="13" width="13.6640625" bestFit="1" customWidth="1"/>
  </cols>
  <sheetData>
    <row r="1" spans="1:14" x14ac:dyDescent="0.3">
      <c r="A1" s="747" t="s">
        <v>523</v>
      </c>
      <c r="B1" s="161" t="s">
        <v>524</v>
      </c>
      <c r="C1" s="161"/>
      <c r="D1" s="161"/>
      <c r="E1" s="161"/>
      <c r="F1" s="161"/>
      <c r="G1" s="161"/>
      <c r="H1" s="161"/>
      <c r="I1" s="161"/>
      <c r="J1" s="748" t="s">
        <v>528</v>
      </c>
      <c r="K1" s="163">
        <v>81</v>
      </c>
      <c r="L1" s="161"/>
      <c r="M1" s="747" t="s">
        <v>546</v>
      </c>
      <c r="N1" s="336">
        <f>N11+I18</f>
        <v>11.041439</v>
      </c>
    </row>
    <row r="2" spans="1:14" x14ac:dyDescent="0.3">
      <c r="A2" s="747" t="s">
        <v>532</v>
      </c>
      <c r="B2" s="161" t="s">
        <v>13</v>
      </c>
      <c r="C2" s="161"/>
      <c r="D2" s="747" t="s">
        <v>536</v>
      </c>
      <c r="E2" s="161"/>
      <c r="F2" s="161"/>
      <c r="G2" s="161"/>
      <c r="H2" s="161"/>
      <c r="I2" s="161"/>
      <c r="J2" s="161"/>
      <c r="K2" s="161"/>
      <c r="L2" s="161"/>
      <c r="M2" s="747" t="s">
        <v>533</v>
      </c>
      <c r="N2" s="165">
        <v>1</v>
      </c>
    </row>
    <row r="3" spans="1:14" x14ac:dyDescent="0.3">
      <c r="A3" s="747" t="s">
        <v>534</v>
      </c>
      <c r="B3" s="161" t="s">
        <v>382</v>
      </c>
      <c r="C3" s="161"/>
      <c r="D3" s="747" t="s">
        <v>538</v>
      </c>
      <c r="E3" s="161"/>
      <c r="F3" s="161"/>
      <c r="G3" s="161"/>
      <c r="H3" s="161"/>
      <c r="I3" s="161"/>
      <c r="J3" s="747" t="s">
        <v>536</v>
      </c>
      <c r="K3" s="161"/>
      <c r="L3" s="161"/>
      <c r="M3" s="161"/>
      <c r="N3" s="161"/>
    </row>
    <row r="4" spans="1:14" x14ac:dyDescent="0.3">
      <c r="A4" s="747" t="s">
        <v>545</v>
      </c>
      <c r="B4" s="166" t="s">
        <v>386</v>
      </c>
      <c r="C4" s="161"/>
      <c r="D4" s="747" t="s">
        <v>541</v>
      </c>
      <c r="E4" s="161"/>
      <c r="F4" s="161"/>
      <c r="G4" s="161"/>
      <c r="H4" s="161"/>
      <c r="I4" s="161"/>
      <c r="J4" s="747" t="s">
        <v>538</v>
      </c>
      <c r="K4" s="161"/>
      <c r="L4" s="161"/>
      <c r="M4" s="747" t="s">
        <v>539</v>
      </c>
      <c r="N4" s="336">
        <f>N1*N2</f>
        <v>11.041439</v>
      </c>
    </row>
    <row r="5" spans="1:14" x14ac:dyDescent="0.3">
      <c r="A5" s="747" t="s">
        <v>537</v>
      </c>
      <c r="B5" s="166" t="s">
        <v>385</v>
      </c>
      <c r="C5" s="161"/>
      <c r="D5" s="161"/>
      <c r="E5" s="161"/>
      <c r="F5" s="161"/>
      <c r="G5" s="161"/>
      <c r="H5" s="161"/>
      <c r="I5" s="161"/>
      <c r="J5" s="747" t="s">
        <v>541</v>
      </c>
      <c r="K5" s="161"/>
      <c r="L5" s="161"/>
      <c r="M5" s="161"/>
      <c r="N5" s="161"/>
    </row>
    <row r="6" spans="1:14" x14ac:dyDescent="0.3">
      <c r="A6" s="747" t="s">
        <v>540</v>
      </c>
      <c r="B6" s="161" t="s">
        <v>36</v>
      </c>
      <c r="C6" s="161"/>
      <c r="D6" s="161"/>
      <c r="E6" s="161"/>
      <c r="F6" s="161"/>
      <c r="G6" s="161"/>
      <c r="H6" s="161"/>
      <c r="I6" s="161"/>
      <c r="J6" s="161"/>
      <c r="K6" s="161"/>
      <c r="L6" s="161"/>
      <c r="M6" s="161"/>
      <c r="N6" s="161"/>
    </row>
    <row r="7" spans="1:14" x14ac:dyDescent="0.3">
      <c r="A7" s="747" t="s">
        <v>542</v>
      </c>
      <c r="B7" s="161"/>
      <c r="C7" s="161"/>
      <c r="D7" s="161"/>
      <c r="E7" s="161"/>
      <c r="F7" s="161"/>
      <c r="G7" s="161"/>
      <c r="H7" s="161"/>
      <c r="I7" s="161"/>
      <c r="J7" s="161"/>
      <c r="K7" s="161"/>
      <c r="L7" s="161"/>
      <c r="M7" s="161"/>
      <c r="N7" s="161"/>
    </row>
    <row r="8" spans="1:14" x14ac:dyDescent="0.3">
      <c r="A8" s="161"/>
      <c r="B8" s="161"/>
      <c r="C8" s="161"/>
      <c r="D8" s="161"/>
      <c r="E8" s="161"/>
      <c r="F8" s="161"/>
      <c r="G8" s="161"/>
      <c r="H8" s="161"/>
      <c r="I8" s="161"/>
      <c r="J8" s="161"/>
      <c r="K8" s="161"/>
      <c r="L8" s="161"/>
      <c r="M8" s="161"/>
      <c r="N8" s="161"/>
    </row>
    <row r="9" spans="1:14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</row>
    <row r="10" spans="1:14" ht="43.2" x14ac:dyDescent="0.3">
      <c r="A10" s="168">
        <v>10</v>
      </c>
      <c r="B10" s="184" t="s">
        <v>707</v>
      </c>
      <c r="C10" s="184" t="s">
        <v>2509</v>
      </c>
      <c r="D10" s="302">
        <v>4.2</v>
      </c>
      <c r="E10" s="168">
        <v>35.5</v>
      </c>
      <c r="F10" s="168" t="s">
        <v>573</v>
      </c>
      <c r="G10" s="168"/>
      <c r="H10" s="219"/>
      <c r="I10" s="269" t="s">
        <v>2568</v>
      </c>
      <c r="J10" s="227">
        <v>3.8999999999999998E-3</v>
      </c>
      <c r="K10" s="610">
        <v>5.5E-2</v>
      </c>
      <c r="L10" s="219">
        <v>2710</v>
      </c>
      <c r="M10" s="222">
        <v>1</v>
      </c>
      <c r="N10" s="322">
        <f>IF(J10="",D10*M10,D10*J10*K10*L10*M10)</f>
        <v>2.4414389999999999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2.4414389999999999</v>
      </c>
    </row>
    <row r="12" spans="1:14" x14ac:dyDescent="0.3">
      <c r="A12" s="161"/>
      <c r="B12" s="161"/>
      <c r="C12" s="161"/>
      <c r="D12" s="161"/>
      <c r="E12" s="161"/>
      <c r="F12" s="161"/>
      <c r="G12" s="161"/>
      <c r="H12" s="161"/>
      <c r="I12" s="161"/>
      <c r="J12" s="161"/>
      <c r="K12" s="161"/>
      <c r="L12" s="161"/>
      <c r="M12" s="161"/>
      <c r="N12" s="161"/>
    </row>
    <row r="13" spans="1:14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93" t="s">
        <v>2512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</f>
        <v>1.3</v>
      </c>
      <c r="J14" s="161"/>
      <c r="K14" s="161"/>
      <c r="L14" s="161"/>
      <c r="M14" s="161"/>
      <c r="N14" s="161"/>
    </row>
    <row r="15" spans="1:14" ht="28.8" x14ac:dyDescent="0.3">
      <c r="A15" s="168">
        <v>20</v>
      </c>
      <c r="B15" s="180" t="s">
        <v>609</v>
      </c>
      <c r="C15" s="184" t="s">
        <v>2569</v>
      </c>
      <c r="D15" s="323">
        <v>0.04</v>
      </c>
      <c r="E15" s="168" t="s">
        <v>610</v>
      </c>
      <c r="F15" s="168">
        <v>120</v>
      </c>
      <c r="G15" s="184" t="s">
        <v>723</v>
      </c>
      <c r="H15" s="168">
        <v>1</v>
      </c>
      <c r="I15" s="322">
        <f>F15*D15</f>
        <v>4.8</v>
      </c>
      <c r="J15" s="161"/>
      <c r="K15" s="161"/>
      <c r="L15" s="161"/>
      <c r="M15" s="161"/>
      <c r="N15" s="161"/>
    </row>
    <row r="16" spans="1:14" ht="28.8" x14ac:dyDescent="0.3">
      <c r="A16" s="168">
        <v>30</v>
      </c>
      <c r="B16" s="180" t="s">
        <v>1387</v>
      </c>
      <c r="C16" s="281" t="s">
        <v>2570</v>
      </c>
      <c r="D16" s="734">
        <v>0.5</v>
      </c>
      <c r="E16" s="180" t="s">
        <v>593</v>
      </c>
      <c r="F16" s="168">
        <v>5</v>
      </c>
      <c r="G16" s="168"/>
      <c r="H16" s="168"/>
      <c r="I16" s="323">
        <f>D16*F16</f>
        <v>2.5</v>
      </c>
      <c r="J16" s="161"/>
      <c r="K16" s="161"/>
      <c r="L16" s="161"/>
      <c r="M16" s="161"/>
      <c r="N16" s="161"/>
    </row>
    <row r="17" spans="1:14" x14ac:dyDescent="0.3">
      <c r="A17" s="168">
        <v>40</v>
      </c>
      <c r="B17" s="180" t="s">
        <v>2571</v>
      </c>
      <c r="C17" s="171"/>
      <c r="D17" s="323" t="s">
        <v>2572</v>
      </c>
      <c r="E17" s="168"/>
      <c r="F17" s="168"/>
      <c r="G17" s="168"/>
      <c r="H17" s="168"/>
      <c r="I17" s="323">
        <v>0</v>
      </c>
      <c r="J17" s="161"/>
      <c r="K17" s="161"/>
      <c r="L17" s="161"/>
      <c r="M17" s="161"/>
      <c r="N17" s="161"/>
    </row>
    <row r="18" spans="1:14" x14ac:dyDescent="0.3">
      <c r="A18" s="178"/>
      <c r="B18" s="178"/>
      <c r="C18" s="178"/>
      <c r="D18" s="178"/>
      <c r="E18" s="178"/>
      <c r="F18" s="178"/>
      <c r="G18" s="178"/>
      <c r="H18" s="750" t="s">
        <v>547</v>
      </c>
      <c r="I18" s="751">
        <f>SUM(I14:I17)</f>
        <v>8.6</v>
      </c>
      <c r="J18" s="178"/>
      <c r="K18" s="178"/>
      <c r="L18" s="178"/>
      <c r="M18" s="178"/>
      <c r="N18" s="178"/>
    </row>
  </sheetData>
  <pageMargins left="0.78740157499999996" right="0.78740157499999996" top="0.984251969" bottom="0.984251969" header="0.5" footer="0.5"/>
  <pageSetup paperSize="9" scale="70" fitToHeight="0" orientation="landscape"/>
  <headerFooter alignWithMargins="0"/>
</worksheet>
</file>

<file path=xl/worksheets/sheet2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N17"/>
  <sheetViews>
    <sheetView showGridLines="0" workbookViewId="0"/>
  </sheetViews>
  <sheetFormatPr defaultColWidth="11.5546875" defaultRowHeight="14.4" x14ac:dyDescent="0.3"/>
  <cols>
    <col min="2" max="2" width="19.109375" customWidth="1"/>
    <col min="3" max="3" width="16.6640625" customWidth="1"/>
    <col min="13" max="13" width="13.6640625" bestFit="1" customWidth="1"/>
  </cols>
  <sheetData>
    <row r="1" spans="1:14" x14ac:dyDescent="0.3">
      <c r="A1" s="747" t="s">
        <v>523</v>
      </c>
      <c r="B1" s="161" t="s">
        <v>524</v>
      </c>
      <c r="C1" s="161"/>
      <c r="D1" s="161"/>
      <c r="E1" s="161"/>
      <c r="F1" s="161"/>
      <c r="G1" s="161"/>
      <c r="H1" s="161"/>
      <c r="I1" s="161"/>
      <c r="J1" s="748" t="s">
        <v>528</v>
      </c>
      <c r="K1" s="163">
        <v>81</v>
      </c>
      <c r="L1" s="161"/>
      <c r="M1" s="747" t="s">
        <v>546</v>
      </c>
      <c r="N1" s="336">
        <f>N11+I17</f>
        <v>9.7414389999999997</v>
      </c>
    </row>
    <row r="2" spans="1:14" x14ac:dyDescent="0.3">
      <c r="A2" s="747" t="s">
        <v>532</v>
      </c>
      <c r="B2" s="161" t="s">
        <v>13</v>
      </c>
      <c r="C2" s="161"/>
      <c r="D2" s="747" t="s">
        <v>536</v>
      </c>
      <c r="E2" s="161"/>
      <c r="F2" s="161"/>
      <c r="G2" s="161"/>
      <c r="H2" s="161"/>
      <c r="I2" s="161"/>
      <c r="J2" s="161"/>
      <c r="K2" s="161"/>
      <c r="L2" s="161"/>
      <c r="M2" s="747" t="s">
        <v>533</v>
      </c>
      <c r="N2" s="165">
        <v>1</v>
      </c>
    </row>
    <row r="3" spans="1:14" x14ac:dyDescent="0.3">
      <c r="A3" s="747" t="s">
        <v>534</v>
      </c>
      <c r="B3" s="161" t="s">
        <v>382</v>
      </c>
      <c r="C3" s="161"/>
      <c r="D3" s="747" t="s">
        <v>538</v>
      </c>
      <c r="E3" s="161"/>
      <c r="F3" s="161"/>
      <c r="G3" s="161"/>
      <c r="H3" s="161"/>
      <c r="I3" s="161"/>
      <c r="J3" s="747" t="s">
        <v>536</v>
      </c>
      <c r="K3" s="161"/>
      <c r="L3" s="161"/>
      <c r="M3" s="161"/>
      <c r="N3" s="161"/>
    </row>
    <row r="4" spans="1:14" x14ac:dyDescent="0.3">
      <c r="A4" s="747" t="s">
        <v>545</v>
      </c>
      <c r="B4" s="166" t="s">
        <v>388</v>
      </c>
      <c r="C4" s="161"/>
      <c r="D4" s="747" t="s">
        <v>541</v>
      </c>
      <c r="E4" s="161"/>
      <c r="F4" s="161"/>
      <c r="G4" s="161"/>
      <c r="H4" s="161"/>
      <c r="I4" s="161"/>
      <c r="J4" s="747" t="s">
        <v>538</v>
      </c>
      <c r="K4" s="161"/>
      <c r="L4" s="161"/>
      <c r="M4" s="747" t="s">
        <v>539</v>
      </c>
      <c r="N4" s="336">
        <f>N1*N2</f>
        <v>9.7414389999999997</v>
      </c>
    </row>
    <row r="5" spans="1:14" x14ac:dyDescent="0.3">
      <c r="A5" s="747" t="s">
        <v>537</v>
      </c>
      <c r="B5" s="166" t="s">
        <v>387</v>
      </c>
      <c r="C5" s="161"/>
      <c r="D5" s="161"/>
      <c r="E5" s="161"/>
      <c r="F5" s="161"/>
      <c r="G5" s="161"/>
      <c r="H5" s="161"/>
      <c r="I5" s="161"/>
      <c r="J5" s="747" t="s">
        <v>541</v>
      </c>
      <c r="K5" s="161"/>
      <c r="L5" s="161"/>
      <c r="M5" s="161"/>
      <c r="N5" s="161"/>
    </row>
    <row r="6" spans="1:14" x14ac:dyDescent="0.3">
      <c r="A6" s="747" t="s">
        <v>540</v>
      </c>
      <c r="B6" s="161" t="s">
        <v>36</v>
      </c>
      <c r="C6" s="161"/>
      <c r="D6" s="161"/>
      <c r="E6" s="161"/>
      <c r="F6" s="161"/>
      <c r="G6" s="161"/>
      <c r="H6" s="161"/>
      <c r="I6" s="161"/>
      <c r="J6" s="161"/>
      <c r="K6" s="161"/>
      <c r="L6" s="161"/>
      <c r="M6" s="161"/>
      <c r="N6" s="161"/>
    </row>
    <row r="7" spans="1:14" x14ac:dyDescent="0.3">
      <c r="A7" s="747" t="s">
        <v>542</v>
      </c>
      <c r="B7" s="161"/>
      <c r="C7" s="161"/>
      <c r="D7" s="161"/>
      <c r="E7" s="161"/>
      <c r="F7" s="161"/>
      <c r="G7" s="161"/>
      <c r="H7" s="161"/>
      <c r="I7" s="161"/>
      <c r="J7" s="161"/>
      <c r="K7" s="161"/>
      <c r="L7" s="161"/>
      <c r="M7" s="161"/>
      <c r="N7" s="161"/>
    </row>
    <row r="8" spans="1:14" x14ac:dyDescent="0.3">
      <c r="A8" s="161"/>
      <c r="B8" s="161"/>
      <c r="C8" s="161"/>
      <c r="D8" s="161"/>
      <c r="E8" s="161"/>
      <c r="F8" s="161"/>
      <c r="G8" s="161"/>
      <c r="H8" s="161"/>
      <c r="I8" s="161"/>
      <c r="J8" s="161"/>
      <c r="K8" s="161"/>
      <c r="L8" s="161"/>
      <c r="M8" s="161"/>
      <c r="N8" s="161"/>
    </row>
    <row r="9" spans="1:14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</row>
    <row r="10" spans="1:14" ht="43.2" x14ac:dyDescent="0.3">
      <c r="A10" s="168">
        <v>10</v>
      </c>
      <c r="B10" s="184" t="s">
        <v>707</v>
      </c>
      <c r="C10" s="184" t="s">
        <v>2509</v>
      </c>
      <c r="D10" s="302">
        <v>4.2</v>
      </c>
      <c r="E10" s="168">
        <v>35.5</v>
      </c>
      <c r="F10" s="168" t="s">
        <v>573</v>
      </c>
      <c r="G10" s="168"/>
      <c r="H10" s="219"/>
      <c r="I10" s="269" t="s">
        <v>2568</v>
      </c>
      <c r="J10" s="227">
        <v>3.8999999999999998E-3</v>
      </c>
      <c r="K10" s="610">
        <v>5.5E-2</v>
      </c>
      <c r="L10" s="219">
        <v>2710</v>
      </c>
      <c r="M10" s="222">
        <v>1</v>
      </c>
      <c r="N10" s="322">
        <f>IF(J10="",D10*M10,D10*J10*K10*L10*M10)</f>
        <v>2.4414389999999999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2.4414389999999999</v>
      </c>
    </row>
    <row r="12" spans="1:14" x14ac:dyDescent="0.3">
      <c r="A12" s="161"/>
      <c r="B12" s="161"/>
      <c r="C12" s="161"/>
      <c r="D12" s="161"/>
      <c r="E12" s="161"/>
      <c r="F12" s="161"/>
      <c r="G12" s="161"/>
      <c r="H12" s="161"/>
      <c r="I12" s="161"/>
      <c r="J12" s="161"/>
      <c r="K12" s="161"/>
      <c r="L12" s="161"/>
      <c r="M12" s="161"/>
      <c r="N12" s="161"/>
    </row>
    <row r="13" spans="1:14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93" t="s">
        <v>2512</v>
      </c>
      <c r="D14" s="323">
        <v>1.3</v>
      </c>
      <c r="E14" s="168" t="s">
        <v>556</v>
      </c>
      <c r="F14" s="168">
        <v>1</v>
      </c>
      <c r="G14" s="168"/>
      <c r="H14" s="168"/>
      <c r="I14" s="323">
        <f>D14</f>
        <v>1.3</v>
      </c>
      <c r="J14" s="161"/>
      <c r="K14" s="161"/>
      <c r="L14" s="161"/>
      <c r="M14" s="161"/>
      <c r="N14" s="161"/>
    </row>
    <row r="15" spans="1:14" ht="28.8" x14ac:dyDescent="0.3">
      <c r="A15" s="168">
        <v>20</v>
      </c>
      <c r="B15" s="180" t="s">
        <v>609</v>
      </c>
      <c r="C15" s="184" t="s">
        <v>2569</v>
      </c>
      <c r="D15" s="323">
        <v>0.04</v>
      </c>
      <c r="E15" s="168" t="s">
        <v>610</v>
      </c>
      <c r="F15" s="168">
        <v>150</v>
      </c>
      <c r="G15" s="184" t="s">
        <v>723</v>
      </c>
      <c r="H15" s="168">
        <v>1</v>
      </c>
      <c r="I15" s="322">
        <f>F15*D15</f>
        <v>6</v>
      </c>
      <c r="J15" s="161"/>
      <c r="K15" s="161"/>
      <c r="L15" s="161"/>
      <c r="M15" s="161"/>
      <c r="N15" s="161"/>
    </row>
    <row r="16" spans="1:14" x14ac:dyDescent="0.3">
      <c r="A16" s="168">
        <v>30</v>
      </c>
      <c r="B16" s="649" t="s">
        <v>2571</v>
      </c>
      <c r="C16" s="734"/>
      <c r="D16" s="734" t="s">
        <v>2572</v>
      </c>
      <c r="E16" s="180"/>
      <c r="F16" s="168"/>
      <c r="G16" s="168"/>
      <c r="H16" s="168"/>
      <c r="I16" s="323"/>
      <c r="J16" s="161"/>
      <c r="K16" s="161"/>
      <c r="L16" s="161"/>
      <c r="M16" s="161"/>
      <c r="N16" s="161"/>
    </row>
    <row r="17" spans="1:14" x14ac:dyDescent="0.3">
      <c r="A17" s="178"/>
      <c r="B17" s="178"/>
      <c r="C17" s="178"/>
      <c r="D17" s="178"/>
      <c r="E17" s="178"/>
      <c r="F17" s="178"/>
      <c r="G17" s="178"/>
      <c r="H17" s="750" t="s">
        <v>547</v>
      </c>
      <c r="I17" s="751">
        <f>SUM(I14:I16)</f>
        <v>7.3</v>
      </c>
      <c r="J17" s="178"/>
      <c r="K17" s="178"/>
      <c r="L17" s="178"/>
      <c r="M17" s="178"/>
      <c r="N17" s="178"/>
    </row>
  </sheetData>
  <pageMargins left="0.78740157499999996" right="0.78740157499999996" top="0.984251969" bottom="0.984251969" header="0.5" footer="0.5"/>
  <pageSetup paperSize="9" scale="73" fitToHeight="0" orientation="landscape"/>
  <headerFooter alignWithMargins="0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8"/>
  <sheetViews>
    <sheetView showGridLines="0" workbookViewId="0"/>
  </sheetViews>
  <sheetFormatPr defaultColWidth="9.109375" defaultRowHeight="14.4" x14ac:dyDescent="0.3"/>
  <cols>
    <col min="1" max="1" width="12.5546875" style="161" customWidth="1"/>
    <col min="2" max="2" width="28.88671875" style="161" customWidth="1"/>
    <col min="3" max="3" width="16.88671875" style="161" customWidth="1"/>
    <col min="4" max="4" width="13.5546875" style="161" bestFit="1" customWidth="1"/>
    <col min="5" max="5" width="11.109375" style="161" customWidth="1"/>
    <col min="6" max="6" width="7.88671875" style="161" customWidth="1"/>
    <col min="7" max="7" width="11.109375" style="161" customWidth="1"/>
    <col min="8" max="8" width="7.664062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441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</f>
        <v>1500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68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68</v>
      </c>
      <c r="D4" s="342" t="s">
        <v>541</v>
      </c>
      <c r="J4" s="342" t="s">
        <v>538</v>
      </c>
      <c r="M4" s="342" t="s">
        <v>539</v>
      </c>
      <c r="N4" s="336">
        <f>N1*N2</f>
        <v>1500</v>
      </c>
    </row>
    <row r="5" spans="1:14" x14ac:dyDescent="0.3">
      <c r="A5" s="342" t="s">
        <v>537</v>
      </c>
      <c r="B5" s="166" t="s">
        <v>69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161" t="s">
        <v>783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84" t="s">
        <v>782</v>
      </c>
      <c r="C10" s="168"/>
      <c r="D10" s="323">
        <v>2.5</v>
      </c>
      <c r="E10" s="168">
        <v>600</v>
      </c>
      <c r="F10" s="168" t="s">
        <v>781</v>
      </c>
      <c r="G10" s="168"/>
      <c r="H10" s="219"/>
      <c r="I10" s="220"/>
      <c r="J10" s="340"/>
      <c r="K10" s="228"/>
      <c r="L10" s="219"/>
      <c r="M10" s="339">
        <v>600</v>
      </c>
      <c r="N10" s="322">
        <f>IF(J10="",D10*M10,D10*J10*K10*L10*M10)</f>
        <v>1500</v>
      </c>
    </row>
    <row r="11" spans="1:14" s="178" customFormat="1" x14ac:dyDescent="0.3">
      <c r="M11" s="338" t="s">
        <v>547</v>
      </c>
      <c r="N11" s="337">
        <f>SUM(N10:N10)</f>
        <v>1500</v>
      </c>
    </row>
    <row r="13" spans="1:14" s="178" customFormat="1" x14ac:dyDescent="0.3">
      <c r="A13" s="161"/>
      <c r="B13" s="161"/>
      <c r="C13" s="161"/>
      <c r="D13" s="161"/>
      <c r="E13" s="161"/>
      <c r="F13" s="161"/>
      <c r="G13" s="161"/>
      <c r="H13" s="161"/>
      <c r="I13" s="161"/>
      <c r="J13" s="161"/>
    </row>
    <row r="14" spans="1:14" ht="31.95" customHeight="1" x14ac:dyDescent="0.3"/>
    <row r="22" spans="1:10" s="178" customFormat="1" x14ac:dyDescent="0.3">
      <c r="A22" s="161"/>
      <c r="B22" s="161"/>
      <c r="C22" s="161"/>
      <c r="D22" s="161"/>
      <c r="E22" s="161"/>
      <c r="F22" s="161"/>
      <c r="G22" s="161"/>
      <c r="H22" s="161"/>
      <c r="I22" s="161"/>
      <c r="J22" s="161"/>
    </row>
    <row r="24" spans="1:10" s="178" customFormat="1" x14ac:dyDescent="0.3">
      <c r="A24" s="161"/>
      <c r="B24" s="161"/>
      <c r="C24" s="161"/>
      <c r="D24" s="161"/>
      <c r="E24" s="161"/>
      <c r="F24" s="161"/>
      <c r="G24" s="161"/>
      <c r="H24" s="161"/>
      <c r="I24" s="161"/>
      <c r="J24" s="161"/>
    </row>
    <row r="33" spans="1:10" s="178" customFormat="1" x14ac:dyDescent="0.3">
      <c r="A33" s="161"/>
      <c r="B33" s="161"/>
      <c r="C33" s="161"/>
      <c r="D33" s="161"/>
      <c r="E33" s="161"/>
      <c r="F33" s="161"/>
      <c r="G33" s="161"/>
      <c r="H33" s="161"/>
      <c r="I33" s="161"/>
      <c r="J33" s="161"/>
    </row>
    <row r="35" spans="1:10" s="178" customFormat="1" x14ac:dyDescent="0.3">
      <c r="A35" s="161"/>
      <c r="B35" s="161"/>
      <c r="C35" s="161"/>
      <c r="D35" s="161"/>
      <c r="E35" s="161"/>
      <c r="F35" s="161"/>
      <c r="G35" s="161"/>
      <c r="H35" s="161"/>
      <c r="I35" s="161"/>
      <c r="J35" s="161"/>
    </row>
    <row r="38" spans="1:10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</row>
  </sheetData>
  <pageMargins left="0.5" right="0.5" top="0.75" bottom="0.75" header="0.3" footer="0.3"/>
  <pageSetup paperSize="9" scale="69" orientation="landscape" r:id="rId1"/>
</worksheet>
</file>

<file path=xl/worksheets/sheet2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499984740745262"/>
    <pageSetUpPr fitToPage="1"/>
  </sheetPr>
  <dimension ref="A1:N40"/>
  <sheetViews>
    <sheetView showGridLines="0" workbookViewId="0"/>
  </sheetViews>
  <sheetFormatPr defaultColWidth="11.5546875" defaultRowHeight="14.4" x14ac:dyDescent="0.3"/>
  <cols>
    <col min="2" max="2" width="21.77734375" bestFit="1" customWidth="1"/>
    <col min="3" max="3" width="29" customWidth="1"/>
    <col min="8" max="8" width="15.77734375" bestFit="1" customWidth="1"/>
    <col min="13" max="13" width="13.6640625" bestFit="1" customWidth="1"/>
  </cols>
  <sheetData>
    <row r="1" spans="1:14" x14ac:dyDescent="0.3">
      <c r="A1" s="729" t="s">
        <v>523</v>
      </c>
      <c r="B1" s="161" t="s">
        <v>524</v>
      </c>
      <c r="C1" s="161"/>
      <c r="D1" s="161"/>
      <c r="E1" s="161"/>
      <c r="F1" s="161"/>
      <c r="G1" s="161"/>
      <c r="H1" s="161"/>
      <c r="I1" s="161"/>
      <c r="J1" s="729" t="s">
        <v>528</v>
      </c>
      <c r="K1" s="163">
        <v>81</v>
      </c>
      <c r="L1" s="161"/>
      <c r="M1" s="729" t="s">
        <v>531</v>
      </c>
      <c r="N1" s="336">
        <f>E13+N18+I27+J34+I38</f>
        <v>15.535043527366664</v>
      </c>
    </row>
    <row r="2" spans="1:14" x14ac:dyDescent="0.3">
      <c r="A2" s="729" t="s">
        <v>532</v>
      </c>
      <c r="B2" s="161" t="s">
        <v>13</v>
      </c>
      <c r="C2" s="161"/>
      <c r="D2" s="161"/>
      <c r="E2" s="161"/>
      <c r="F2" s="161"/>
      <c r="G2" s="161"/>
      <c r="H2" s="161"/>
      <c r="I2" s="161"/>
      <c r="J2" s="161"/>
      <c r="K2" s="161"/>
      <c r="L2" s="161"/>
      <c r="M2" s="729" t="s">
        <v>533</v>
      </c>
      <c r="N2" s="165">
        <v>2</v>
      </c>
    </row>
    <row r="3" spans="1:14" x14ac:dyDescent="0.3">
      <c r="A3" s="729" t="s">
        <v>534</v>
      </c>
      <c r="B3" s="161" t="s">
        <v>390</v>
      </c>
      <c r="C3" s="161"/>
      <c r="D3" s="161"/>
      <c r="E3" s="161"/>
      <c r="F3" s="161"/>
      <c r="G3" s="161"/>
      <c r="H3" s="161"/>
      <c r="I3" s="161"/>
      <c r="J3" s="729" t="s">
        <v>536</v>
      </c>
      <c r="K3" s="161"/>
      <c r="L3" s="161"/>
      <c r="M3" s="161"/>
      <c r="N3" s="161"/>
    </row>
    <row r="4" spans="1:14" x14ac:dyDescent="0.3">
      <c r="A4" s="729" t="s">
        <v>537</v>
      </c>
      <c r="B4" s="166" t="s">
        <v>389</v>
      </c>
      <c r="C4" s="161"/>
      <c r="D4" s="161"/>
      <c r="E4" s="161"/>
      <c r="F4" s="161"/>
      <c r="G4" s="161"/>
      <c r="H4" s="161"/>
      <c r="I4" s="161"/>
      <c r="J4" s="729" t="s">
        <v>538</v>
      </c>
      <c r="K4" s="161"/>
      <c r="L4" s="161"/>
      <c r="M4" s="729" t="s">
        <v>539</v>
      </c>
      <c r="N4" s="336">
        <f>N1*N2</f>
        <v>31.070087054733328</v>
      </c>
    </row>
    <row r="5" spans="1:14" x14ac:dyDescent="0.3">
      <c r="A5" s="729" t="s">
        <v>540</v>
      </c>
      <c r="B5" s="161" t="s">
        <v>36</v>
      </c>
      <c r="C5" s="161"/>
      <c r="D5" s="161"/>
      <c r="E5" s="161"/>
      <c r="F5" s="161"/>
      <c r="G5" s="161"/>
      <c r="H5" s="161"/>
      <c r="I5" s="161"/>
      <c r="J5" s="729" t="s">
        <v>541</v>
      </c>
      <c r="K5" s="161"/>
      <c r="L5" s="161"/>
      <c r="M5" s="161"/>
      <c r="N5" s="161"/>
    </row>
    <row r="6" spans="1:14" x14ac:dyDescent="0.3">
      <c r="A6" s="729" t="s">
        <v>542</v>
      </c>
      <c r="B6" s="161"/>
      <c r="C6" s="161"/>
      <c r="D6" s="161"/>
      <c r="E6" s="161"/>
      <c r="F6" s="161"/>
      <c r="G6" s="161"/>
      <c r="H6" s="161"/>
      <c r="I6" s="161"/>
      <c r="J6" s="161"/>
      <c r="K6" s="161"/>
      <c r="L6" s="161"/>
      <c r="M6" s="161"/>
      <c r="N6" s="161"/>
    </row>
    <row r="7" spans="1:14" x14ac:dyDescent="0.3">
      <c r="A7" s="161"/>
      <c r="B7" s="161"/>
      <c r="C7" s="161"/>
      <c r="D7" s="161"/>
      <c r="E7" s="161"/>
      <c r="F7" s="161"/>
      <c r="G7" s="161"/>
      <c r="H7" s="161"/>
      <c r="I7" s="161"/>
      <c r="J7" s="161"/>
      <c r="K7" s="161"/>
      <c r="L7" s="161"/>
      <c r="M7" s="161"/>
      <c r="N7" s="161"/>
    </row>
    <row r="8" spans="1:14" x14ac:dyDescent="0.3">
      <c r="A8" s="730" t="s">
        <v>544</v>
      </c>
      <c r="B8" s="730" t="s">
        <v>545</v>
      </c>
      <c r="C8" s="730" t="s">
        <v>546</v>
      </c>
      <c r="D8" s="730" t="s">
        <v>28</v>
      </c>
      <c r="E8" s="730" t="s">
        <v>547</v>
      </c>
      <c r="F8" s="161"/>
      <c r="G8" s="161"/>
      <c r="H8" s="161"/>
      <c r="I8" s="161"/>
      <c r="J8" s="161"/>
      <c r="K8" s="161"/>
      <c r="L8" s="161"/>
      <c r="M8" s="161"/>
      <c r="N8" s="161"/>
    </row>
    <row r="9" spans="1:14" x14ac:dyDescent="0.3">
      <c r="A9" s="168">
        <v>10</v>
      </c>
      <c r="B9" s="168" t="s">
        <v>392</v>
      </c>
      <c r="C9" s="323">
        <f>'ST 03001'!N1</f>
        <v>0.94946809999999993</v>
      </c>
      <c r="D9" s="171">
        <v>2</v>
      </c>
      <c r="E9" s="322">
        <f>C9*D9</f>
        <v>1.8989361999999999</v>
      </c>
      <c r="F9" s="161"/>
      <c r="G9" s="161"/>
      <c r="H9" s="161"/>
      <c r="I9" s="161"/>
      <c r="J9" s="161"/>
      <c r="K9" s="161"/>
      <c r="L9" s="161"/>
      <c r="M9" s="161"/>
      <c r="N9" s="161"/>
    </row>
    <row r="10" spans="1:14" x14ac:dyDescent="0.3">
      <c r="A10" s="168">
        <v>20</v>
      </c>
      <c r="B10" s="168" t="s">
        <v>394</v>
      </c>
      <c r="C10" s="763">
        <f>'ST 03002'!N1</f>
        <v>0.69433489799999992</v>
      </c>
      <c r="D10" s="171">
        <v>2</v>
      </c>
      <c r="E10" s="322">
        <f>C10*D10</f>
        <v>1.3886697959999998</v>
      </c>
      <c r="F10" s="161"/>
      <c r="G10" s="161"/>
      <c r="H10" s="161"/>
      <c r="I10" s="161"/>
      <c r="J10" s="161"/>
      <c r="K10" s="161"/>
      <c r="L10" s="161"/>
      <c r="M10" s="161"/>
      <c r="N10" s="161"/>
    </row>
    <row r="11" spans="1:14" x14ac:dyDescent="0.3">
      <c r="A11" s="168">
        <v>30</v>
      </c>
      <c r="B11" s="168" t="s">
        <v>396</v>
      </c>
      <c r="C11" s="323">
        <f>'ST 03003'!N1</f>
        <v>0.69559338199999987</v>
      </c>
      <c r="D11" s="171">
        <v>2</v>
      </c>
      <c r="E11" s="322">
        <f>C11*D11</f>
        <v>1.3911867639999997</v>
      </c>
      <c r="F11" s="161"/>
      <c r="G11" s="161"/>
      <c r="H11" s="161"/>
      <c r="I11" s="161"/>
      <c r="J11" s="161"/>
      <c r="K11" s="161"/>
      <c r="L11" s="161"/>
      <c r="M11" s="161"/>
      <c r="N11" s="161"/>
    </row>
    <row r="12" spans="1:14" x14ac:dyDescent="0.3">
      <c r="A12" s="168">
        <v>40</v>
      </c>
      <c r="B12" s="168" t="s">
        <v>398</v>
      </c>
      <c r="C12" s="322">
        <f>'ST 03004'!N1</f>
        <v>0.53133410070000009</v>
      </c>
      <c r="D12" s="171">
        <v>1</v>
      </c>
      <c r="E12" s="322">
        <f>C12*D12</f>
        <v>0.53133410070000009</v>
      </c>
      <c r="F12" s="161"/>
      <c r="G12" s="161"/>
      <c r="H12" s="161"/>
      <c r="I12" s="161"/>
      <c r="J12" s="161"/>
      <c r="K12" s="161"/>
      <c r="L12" s="161"/>
      <c r="M12" s="161"/>
      <c r="N12" s="161"/>
    </row>
    <row r="13" spans="1:14" x14ac:dyDescent="0.3">
      <c r="A13" s="161"/>
      <c r="B13" s="161"/>
      <c r="C13" s="161"/>
      <c r="D13" s="779" t="s">
        <v>547</v>
      </c>
      <c r="E13" s="739">
        <f>SUM(E9:E12)</f>
        <v>5.2101268606999991</v>
      </c>
      <c r="F13" s="161"/>
      <c r="G13" s="161"/>
      <c r="H13" s="161"/>
      <c r="I13" s="161"/>
      <c r="J13" s="161"/>
      <c r="K13" s="161"/>
      <c r="L13" s="161"/>
      <c r="M13" s="161"/>
      <c r="N13" s="161"/>
    </row>
    <row r="14" spans="1:14" x14ac:dyDescent="0.3">
      <c r="A14" s="161"/>
      <c r="B14" s="161"/>
      <c r="C14" s="161"/>
      <c r="D14" s="161"/>
      <c r="E14" s="161"/>
      <c r="F14" s="161"/>
      <c r="G14" s="161"/>
      <c r="H14" s="161"/>
      <c r="I14" s="161"/>
      <c r="J14" s="161"/>
      <c r="K14" s="161"/>
      <c r="L14" s="161"/>
      <c r="M14" s="161"/>
      <c r="N14" s="161"/>
    </row>
    <row r="15" spans="1:14" x14ac:dyDescent="0.3">
      <c r="A15" s="730" t="s">
        <v>544</v>
      </c>
      <c r="B15" s="730" t="s">
        <v>581</v>
      </c>
      <c r="C15" s="730" t="s">
        <v>549</v>
      </c>
      <c r="D15" s="730" t="s">
        <v>550</v>
      </c>
      <c r="E15" s="730" t="s">
        <v>567</v>
      </c>
      <c r="F15" s="730" t="s">
        <v>568</v>
      </c>
      <c r="G15" s="730" t="s">
        <v>569</v>
      </c>
      <c r="H15" s="730" t="s">
        <v>570</v>
      </c>
      <c r="I15" s="730" t="s">
        <v>582</v>
      </c>
      <c r="J15" s="730" t="s">
        <v>583</v>
      </c>
      <c r="K15" s="730" t="s">
        <v>584</v>
      </c>
      <c r="L15" s="730" t="s">
        <v>585</v>
      </c>
      <c r="M15" s="730" t="s">
        <v>28</v>
      </c>
      <c r="N15" s="730" t="s">
        <v>547</v>
      </c>
    </row>
    <row r="16" spans="1:14" x14ac:dyDescent="0.3">
      <c r="A16" s="168">
        <v>10</v>
      </c>
      <c r="B16" s="168" t="s">
        <v>625</v>
      </c>
      <c r="C16" s="184" t="s">
        <v>2573</v>
      </c>
      <c r="D16" s="170">
        <v>10</v>
      </c>
      <c r="E16" s="228">
        <v>1.7000000000000001E-2</v>
      </c>
      <c r="F16" s="168" t="s">
        <v>627</v>
      </c>
      <c r="G16" s="168"/>
      <c r="H16" s="219"/>
      <c r="I16" s="220"/>
      <c r="J16" s="221"/>
      <c r="K16" s="219"/>
      <c r="L16" s="219"/>
      <c r="M16" s="228">
        <v>1.7000000000000001E-2</v>
      </c>
      <c r="N16" s="223">
        <f>IF(J16="",D16*M16,D16*J16*K16*L16*M16)</f>
        <v>0.17</v>
      </c>
    </row>
    <row r="17" spans="1:14" x14ac:dyDescent="0.3">
      <c r="A17" s="168">
        <v>20</v>
      </c>
      <c r="B17" s="225" t="s">
        <v>1329</v>
      </c>
      <c r="C17" s="168" t="s">
        <v>2574</v>
      </c>
      <c r="D17" s="170">
        <v>1.94</v>
      </c>
      <c r="E17" s="168">
        <v>6</v>
      </c>
      <c r="F17" s="168" t="s">
        <v>573</v>
      </c>
      <c r="G17" s="168"/>
      <c r="H17" s="219"/>
      <c r="I17" s="220"/>
      <c r="J17" s="221"/>
      <c r="K17" s="219"/>
      <c r="L17" s="219"/>
      <c r="M17" s="222">
        <v>2</v>
      </c>
      <c r="N17" s="322">
        <f>D17*M17</f>
        <v>3.88</v>
      </c>
    </row>
    <row r="18" spans="1:14" x14ac:dyDescent="0.3">
      <c r="A18" s="178"/>
      <c r="B18" s="178"/>
      <c r="C18" s="178"/>
      <c r="D18" s="178"/>
      <c r="E18" s="178"/>
      <c r="F18" s="178"/>
      <c r="G18" s="178"/>
      <c r="H18" s="178"/>
      <c r="I18" s="178"/>
      <c r="J18" s="178"/>
      <c r="K18" s="178"/>
      <c r="L18" s="178"/>
      <c r="M18" s="779" t="s">
        <v>547</v>
      </c>
      <c r="N18" s="739">
        <f>SUM(N16:N17)</f>
        <v>4.05</v>
      </c>
    </row>
    <row r="19" spans="1:14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0" spans="1:14" x14ac:dyDescent="0.3">
      <c r="A20" s="730" t="s">
        <v>544</v>
      </c>
      <c r="B20" s="730" t="s">
        <v>548</v>
      </c>
      <c r="C20" s="730" t="s">
        <v>549</v>
      </c>
      <c r="D20" s="730" t="s">
        <v>550</v>
      </c>
      <c r="E20" s="730" t="s">
        <v>551</v>
      </c>
      <c r="F20" s="730" t="s">
        <v>28</v>
      </c>
      <c r="G20" s="730" t="s">
        <v>552</v>
      </c>
      <c r="H20" s="730" t="s">
        <v>553</v>
      </c>
      <c r="I20" s="730" t="s">
        <v>547</v>
      </c>
      <c r="J20" s="178"/>
      <c r="K20" s="178"/>
      <c r="L20" s="178"/>
      <c r="M20" s="178"/>
      <c r="N20" s="178"/>
    </row>
    <row r="21" spans="1:14" x14ac:dyDescent="0.3">
      <c r="A21" s="168">
        <v>10</v>
      </c>
      <c r="B21" s="180" t="s">
        <v>650</v>
      </c>
      <c r="C21" s="184" t="s">
        <v>2575</v>
      </c>
      <c r="D21" s="734">
        <v>0.15</v>
      </c>
      <c r="E21" s="168" t="s">
        <v>593</v>
      </c>
      <c r="F21" s="168">
        <v>7.5</v>
      </c>
      <c r="G21" s="168"/>
      <c r="H21" s="168"/>
      <c r="I21" s="170">
        <f t="shared" ref="I21:I26" si="0">D21*F21</f>
        <v>1.125</v>
      </c>
      <c r="J21" s="161"/>
      <c r="K21" s="161"/>
      <c r="L21" s="161"/>
      <c r="M21" s="161"/>
      <c r="N21" s="161"/>
    </row>
    <row r="22" spans="1:14" x14ac:dyDescent="0.3">
      <c r="A22" s="168">
        <v>20</v>
      </c>
      <c r="B22" s="180" t="s">
        <v>653</v>
      </c>
      <c r="C22" s="184" t="s">
        <v>2573</v>
      </c>
      <c r="D22" s="734">
        <v>5.25</v>
      </c>
      <c r="E22" s="168" t="s">
        <v>627</v>
      </c>
      <c r="F22" s="228">
        <v>1.7000000000000001E-2</v>
      </c>
      <c r="G22" s="168"/>
      <c r="H22" s="168"/>
      <c r="I22" s="170">
        <f t="shared" si="0"/>
        <v>8.925000000000001E-2</v>
      </c>
      <c r="J22" s="161"/>
      <c r="K22" s="161"/>
      <c r="L22" s="161"/>
      <c r="M22" s="161"/>
      <c r="N22" s="161"/>
    </row>
    <row r="23" spans="1:14" x14ac:dyDescent="0.3">
      <c r="A23" s="168">
        <v>30</v>
      </c>
      <c r="B23" s="180" t="s">
        <v>659</v>
      </c>
      <c r="C23" s="734" t="s">
        <v>2576</v>
      </c>
      <c r="D23" s="734">
        <v>0.5</v>
      </c>
      <c r="E23" s="180" t="s">
        <v>556</v>
      </c>
      <c r="F23" s="168">
        <v>2</v>
      </c>
      <c r="G23" s="168"/>
      <c r="H23" s="168"/>
      <c r="I23" s="170">
        <f t="shared" si="0"/>
        <v>1</v>
      </c>
      <c r="J23" s="161"/>
      <c r="K23" s="161"/>
      <c r="L23" s="161"/>
      <c r="M23" s="161"/>
      <c r="N23" s="161"/>
    </row>
    <row r="24" spans="1:14" ht="28.8" x14ac:dyDescent="0.3">
      <c r="A24" s="168">
        <v>40</v>
      </c>
      <c r="B24" s="180" t="s">
        <v>660</v>
      </c>
      <c r="C24" s="734" t="s">
        <v>2486</v>
      </c>
      <c r="D24" s="734">
        <v>0.25</v>
      </c>
      <c r="E24" s="180" t="s">
        <v>556</v>
      </c>
      <c r="F24" s="168">
        <v>2</v>
      </c>
      <c r="G24" s="168"/>
      <c r="H24" s="168"/>
      <c r="I24" s="170">
        <f t="shared" si="0"/>
        <v>0.5</v>
      </c>
      <c r="J24" s="161"/>
      <c r="K24" s="161"/>
      <c r="L24" s="161"/>
      <c r="M24" s="161"/>
      <c r="N24" s="161"/>
    </row>
    <row r="25" spans="1:14" x14ac:dyDescent="0.3">
      <c r="A25" s="168">
        <v>50</v>
      </c>
      <c r="B25" s="180" t="s">
        <v>2577</v>
      </c>
      <c r="C25" s="734" t="s">
        <v>2578</v>
      </c>
      <c r="D25" s="734">
        <v>1</v>
      </c>
      <c r="E25" s="180" t="s">
        <v>556</v>
      </c>
      <c r="F25" s="168">
        <v>2</v>
      </c>
      <c r="G25" s="168"/>
      <c r="H25" s="168"/>
      <c r="I25" s="170">
        <f t="shared" si="0"/>
        <v>2</v>
      </c>
      <c r="J25" s="161"/>
      <c r="K25" s="161"/>
      <c r="L25" s="161"/>
      <c r="M25" s="161"/>
      <c r="N25" s="161"/>
    </row>
    <row r="26" spans="1:14" ht="28.8" x14ac:dyDescent="0.3">
      <c r="A26" s="168">
        <v>60</v>
      </c>
      <c r="B26" s="180" t="s">
        <v>660</v>
      </c>
      <c r="C26" s="734" t="s">
        <v>2486</v>
      </c>
      <c r="D26" s="734">
        <v>0.25</v>
      </c>
      <c r="E26" s="180" t="s">
        <v>556</v>
      </c>
      <c r="F26" s="168">
        <v>2</v>
      </c>
      <c r="G26" s="168"/>
      <c r="H26" s="168"/>
      <c r="I26" s="170">
        <f t="shared" si="0"/>
        <v>0.5</v>
      </c>
      <c r="J26" s="161"/>
      <c r="K26" s="161"/>
      <c r="L26" s="161"/>
      <c r="M26" s="161"/>
      <c r="N26" s="161"/>
    </row>
    <row r="27" spans="1:14" x14ac:dyDescent="0.3">
      <c r="A27" s="178"/>
      <c r="B27" s="783"/>
      <c r="C27" s="784"/>
      <c r="D27" s="785"/>
      <c r="E27" s="478"/>
      <c r="F27" s="178"/>
      <c r="G27" s="178"/>
      <c r="H27" s="779" t="s">
        <v>547</v>
      </c>
      <c r="I27" s="739">
        <f>SUM(I21:I26)</f>
        <v>5.2142499999999998</v>
      </c>
      <c r="J27" s="178"/>
      <c r="K27" s="178"/>
      <c r="L27" s="178"/>
      <c r="M27" s="178"/>
      <c r="N27" s="178"/>
    </row>
    <row r="28" spans="1:14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  <c r="L28" s="161"/>
      <c r="M28" s="161"/>
      <c r="N28" s="161"/>
    </row>
    <row r="29" spans="1:14" x14ac:dyDescent="0.3">
      <c r="A29" s="730" t="s">
        <v>544</v>
      </c>
      <c r="B29" s="730" t="s">
        <v>566</v>
      </c>
      <c r="C29" s="730" t="s">
        <v>549</v>
      </c>
      <c r="D29" s="730" t="s">
        <v>550</v>
      </c>
      <c r="E29" s="730" t="s">
        <v>567</v>
      </c>
      <c r="F29" s="730" t="s">
        <v>568</v>
      </c>
      <c r="G29" s="730" t="s">
        <v>569</v>
      </c>
      <c r="H29" s="730" t="s">
        <v>570</v>
      </c>
      <c r="I29" s="730" t="s">
        <v>28</v>
      </c>
      <c r="J29" s="730" t="s">
        <v>547</v>
      </c>
      <c r="K29" s="178"/>
      <c r="L29" s="178"/>
      <c r="M29" s="178"/>
      <c r="N29" s="178"/>
    </row>
    <row r="30" spans="1:14" x14ac:dyDescent="0.3">
      <c r="A30" s="168">
        <v>10</v>
      </c>
      <c r="B30" s="168" t="s">
        <v>684</v>
      </c>
      <c r="C30" s="168" t="s">
        <v>2497</v>
      </c>
      <c r="D30" s="600">
        <v>0.11700000000000001</v>
      </c>
      <c r="E30" s="225">
        <v>6</v>
      </c>
      <c r="F30" s="225" t="s">
        <v>573</v>
      </c>
      <c r="G30" s="225">
        <v>50</v>
      </c>
      <c r="H30" s="225" t="s">
        <v>573</v>
      </c>
      <c r="I30" s="168">
        <v>2</v>
      </c>
      <c r="J30" s="786">
        <f>D30*I30</f>
        <v>0.23400000000000001</v>
      </c>
      <c r="K30" s="178"/>
      <c r="L30" s="178"/>
      <c r="M30" s="178"/>
      <c r="N30" s="178"/>
    </row>
    <row r="31" spans="1:14" x14ac:dyDescent="0.3">
      <c r="A31" s="168">
        <v>20</v>
      </c>
      <c r="B31" s="168" t="s">
        <v>618</v>
      </c>
      <c r="C31" s="168" t="s">
        <v>2579</v>
      </c>
      <c r="D31" s="786">
        <v>0.03</v>
      </c>
      <c r="E31" s="168">
        <v>6</v>
      </c>
      <c r="F31" s="168" t="s">
        <v>573</v>
      </c>
      <c r="G31" s="168"/>
      <c r="H31" s="168"/>
      <c r="I31" s="168">
        <v>2</v>
      </c>
      <c r="J31" s="786">
        <f>D31*I31</f>
        <v>0.06</v>
      </c>
      <c r="K31" s="178"/>
      <c r="L31" s="178"/>
      <c r="M31" s="178"/>
      <c r="N31" s="178"/>
    </row>
    <row r="32" spans="1:14" x14ac:dyDescent="0.3">
      <c r="A32" s="168">
        <v>30</v>
      </c>
      <c r="B32" s="168" t="s">
        <v>618</v>
      </c>
      <c r="C32" s="168" t="s">
        <v>2498</v>
      </c>
      <c r="D32" s="786">
        <v>0.03</v>
      </c>
      <c r="E32" s="168">
        <v>6</v>
      </c>
      <c r="F32" s="168" t="s">
        <v>573</v>
      </c>
      <c r="G32" s="168"/>
      <c r="H32" s="168"/>
      <c r="I32" s="168">
        <v>2</v>
      </c>
      <c r="J32" s="786">
        <f>D32*I32</f>
        <v>0.06</v>
      </c>
      <c r="K32" s="178"/>
      <c r="L32" s="178"/>
      <c r="M32" s="178"/>
      <c r="N32" s="178"/>
    </row>
    <row r="33" spans="1:14" ht="28.8" x14ac:dyDescent="0.3">
      <c r="A33" s="168">
        <v>40</v>
      </c>
      <c r="B33" s="184" t="s">
        <v>574</v>
      </c>
      <c r="C33" s="168" t="s">
        <v>2499</v>
      </c>
      <c r="D33" s="600">
        <v>0.01</v>
      </c>
      <c r="E33" s="168"/>
      <c r="F33" s="245"/>
      <c r="G33" s="168"/>
      <c r="H33" s="171"/>
      <c r="I33" s="168">
        <v>4</v>
      </c>
      <c r="J33" s="786">
        <f>D33*I33</f>
        <v>0.04</v>
      </c>
      <c r="K33" s="161"/>
      <c r="L33" s="161"/>
      <c r="M33" s="161"/>
      <c r="N33" s="161"/>
    </row>
    <row r="34" spans="1:14" x14ac:dyDescent="0.3">
      <c r="A34" s="178"/>
      <c r="B34" s="178"/>
      <c r="C34" s="178"/>
      <c r="D34" s="178"/>
      <c r="E34" s="178"/>
      <c r="F34" s="178"/>
      <c r="G34" s="178"/>
      <c r="H34" s="178"/>
      <c r="I34" s="731" t="s">
        <v>547</v>
      </c>
      <c r="J34" s="732">
        <f>SUM(J30:J33)</f>
        <v>0.39400000000000002</v>
      </c>
      <c r="K34" s="178"/>
      <c r="L34" s="178"/>
      <c r="M34" s="178"/>
      <c r="N34" s="178"/>
    </row>
    <row r="35" spans="1:14" x14ac:dyDescent="0.3">
      <c r="A35" s="161"/>
      <c r="B35" s="161"/>
      <c r="C35" s="161"/>
      <c r="D35" s="161"/>
      <c r="E35" s="161"/>
      <c r="F35" s="161"/>
      <c r="G35" s="161"/>
      <c r="H35" s="326"/>
      <c r="I35" s="325"/>
      <c r="J35" s="161"/>
      <c r="K35" s="161"/>
      <c r="L35" s="161"/>
      <c r="M35" s="161"/>
      <c r="N35" s="161"/>
    </row>
    <row r="36" spans="1:14" x14ac:dyDescent="0.3">
      <c r="A36" s="730" t="s">
        <v>544</v>
      </c>
      <c r="B36" s="730" t="s">
        <v>6</v>
      </c>
      <c r="C36" s="730" t="s">
        <v>549</v>
      </c>
      <c r="D36" s="730" t="s">
        <v>550</v>
      </c>
      <c r="E36" s="730" t="s">
        <v>551</v>
      </c>
      <c r="F36" s="730" t="s">
        <v>28</v>
      </c>
      <c r="G36" s="730" t="s">
        <v>691</v>
      </c>
      <c r="H36" s="730" t="s">
        <v>736</v>
      </c>
      <c r="I36" s="730" t="s">
        <v>547</v>
      </c>
      <c r="J36" s="178"/>
      <c r="K36" s="178"/>
      <c r="L36" s="178"/>
      <c r="M36" s="178"/>
      <c r="N36" s="178"/>
    </row>
    <row r="37" spans="1:14" x14ac:dyDescent="0.3">
      <c r="A37" s="168">
        <v>10</v>
      </c>
      <c r="B37" s="168" t="s">
        <v>1767</v>
      </c>
      <c r="C37" s="168" t="s">
        <v>1732</v>
      </c>
      <c r="D37" s="170">
        <v>500</v>
      </c>
      <c r="E37" s="168" t="s">
        <v>695</v>
      </c>
      <c r="F37" s="168">
        <v>4</v>
      </c>
      <c r="G37" s="168">
        <v>3000</v>
      </c>
      <c r="H37" s="168">
        <v>1</v>
      </c>
      <c r="I37" s="223">
        <f>D37*F37/G37*H37</f>
        <v>0.66666666666666663</v>
      </c>
      <c r="J37" s="161"/>
      <c r="K37" s="161"/>
      <c r="L37" s="161"/>
      <c r="M37" s="161"/>
      <c r="N37" s="161"/>
    </row>
    <row r="38" spans="1:14" x14ac:dyDescent="0.3">
      <c r="A38" s="178"/>
      <c r="B38" s="178"/>
      <c r="C38" s="178"/>
      <c r="D38" s="178"/>
      <c r="E38" s="178"/>
      <c r="F38" s="178"/>
      <c r="G38" s="178"/>
      <c r="H38" s="779" t="s">
        <v>547</v>
      </c>
      <c r="I38" s="732">
        <f>SUM(I37:I37)</f>
        <v>0.66666666666666663</v>
      </c>
      <c r="J38" s="178"/>
      <c r="K38" s="178"/>
      <c r="L38" s="178"/>
      <c r="M38" s="178"/>
      <c r="N38" s="178"/>
    </row>
    <row r="39" spans="1:14" x14ac:dyDescent="0.3">
      <c r="A39" s="161"/>
      <c r="B39" s="161"/>
      <c r="C39" s="161"/>
      <c r="D39" s="161"/>
      <c r="E39" s="161"/>
      <c r="F39" s="161"/>
      <c r="G39" s="161"/>
      <c r="H39" s="161"/>
      <c r="I39" s="161"/>
      <c r="J39" s="161"/>
      <c r="K39" s="161"/>
      <c r="L39" s="161"/>
      <c r="M39" s="161"/>
      <c r="N39" s="161"/>
    </row>
    <row r="40" spans="1:14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</sheetData>
  <pageMargins left="0.78740157499999996" right="0.78740157499999996" top="0.984251969" bottom="0.984251969" header="0.5" footer="0.5"/>
  <pageSetup paperSize="9" scale="66" fitToHeight="0" orientation="landscape" horizontalDpi="4294967292" verticalDpi="4294967292"/>
  <headerFooter alignWithMargins="0"/>
</worksheet>
</file>

<file path=xl/worksheets/sheet2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O24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5.44140625" style="161" customWidth="1"/>
    <col min="3" max="3" width="31.10937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9" style="16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5" x14ac:dyDescent="0.3">
      <c r="A1" s="747" t="s">
        <v>523</v>
      </c>
      <c r="B1" s="161" t="s">
        <v>524</v>
      </c>
      <c r="J1" s="748" t="s">
        <v>528</v>
      </c>
      <c r="K1" s="163">
        <v>81</v>
      </c>
      <c r="M1" s="747" t="s">
        <v>546</v>
      </c>
      <c r="N1" s="336">
        <f>N11+I19</f>
        <v>0.94946809999999993</v>
      </c>
    </row>
    <row r="2" spans="1:15" x14ac:dyDescent="0.3">
      <c r="A2" s="747" t="s">
        <v>532</v>
      </c>
      <c r="B2" s="161" t="s">
        <v>13</v>
      </c>
      <c r="D2" s="747" t="s">
        <v>536</v>
      </c>
      <c r="M2" s="747" t="s">
        <v>533</v>
      </c>
      <c r="N2" s="165">
        <v>4</v>
      </c>
    </row>
    <row r="3" spans="1:15" x14ac:dyDescent="0.3">
      <c r="A3" s="747" t="s">
        <v>534</v>
      </c>
      <c r="B3" s="161" t="s">
        <v>390</v>
      </c>
      <c r="D3" s="747" t="s">
        <v>538</v>
      </c>
      <c r="J3" s="747" t="s">
        <v>536</v>
      </c>
    </row>
    <row r="4" spans="1:15" x14ac:dyDescent="0.3">
      <c r="A4" s="747" t="s">
        <v>545</v>
      </c>
      <c r="B4" s="166" t="s">
        <v>2580</v>
      </c>
      <c r="D4" s="747" t="s">
        <v>541</v>
      </c>
      <c r="J4" s="747" t="s">
        <v>538</v>
      </c>
      <c r="M4" s="747" t="s">
        <v>539</v>
      </c>
      <c r="N4" s="336">
        <f>N1*N2</f>
        <v>3.7978723999999997</v>
      </c>
    </row>
    <row r="5" spans="1:15" x14ac:dyDescent="0.3">
      <c r="A5" s="747" t="s">
        <v>537</v>
      </c>
      <c r="B5" s="166" t="s">
        <v>391</v>
      </c>
      <c r="J5" s="747" t="s">
        <v>541</v>
      </c>
    </row>
    <row r="6" spans="1:15" x14ac:dyDescent="0.3">
      <c r="A6" s="747" t="s">
        <v>540</v>
      </c>
      <c r="B6" s="161" t="s">
        <v>36</v>
      </c>
    </row>
    <row r="7" spans="1:15" x14ac:dyDescent="0.3">
      <c r="A7" s="747" t="s">
        <v>542</v>
      </c>
    </row>
    <row r="9" spans="1:15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  <c r="O9" s="178"/>
    </row>
    <row r="10" spans="1:15" ht="28.8" x14ac:dyDescent="0.3">
      <c r="A10" s="168">
        <v>10</v>
      </c>
      <c r="B10" s="168" t="s">
        <v>596</v>
      </c>
      <c r="C10" s="168" t="s">
        <v>2515</v>
      </c>
      <c r="D10" s="302">
        <v>2.25</v>
      </c>
      <c r="E10" s="168">
        <v>6</v>
      </c>
      <c r="F10" s="168" t="s">
        <v>573</v>
      </c>
      <c r="G10" s="168"/>
      <c r="H10" s="219"/>
      <c r="I10" s="269" t="s">
        <v>2581</v>
      </c>
      <c r="J10" s="227">
        <v>1.13E-4</v>
      </c>
      <c r="K10" s="610">
        <v>0.02</v>
      </c>
      <c r="L10" s="219">
        <v>7860</v>
      </c>
      <c r="M10" s="222">
        <v>1</v>
      </c>
      <c r="N10" s="322">
        <f>IF(J10="",D10*M10,D10*J10*K10*L10*M10)</f>
        <v>3.9968099999999999E-2</v>
      </c>
    </row>
    <row r="11" spans="1:15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3.9968099999999999E-2</v>
      </c>
      <c r="O11" s="178"/>
    </row>
    <row r="13" spans="1:15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  <c r="O13" s="178"/>
    </row>
    <row r="14" spans="1:15" s="248" customFormat="1" ht="36.6" customHeight="1" x14ac:dyDescent="0.3">
      <c r="A14" s="184">
        <v>10</v>
      </c>
      <c r="B14" s="180" t="s">
        <v>589</v>
      </c>
      <c r="C14" s="193" t="s">
        <v>1635</v>
      </c>
      <c r="D14" s="362">
        <v>1.3</v>
      </c>
      <c r="E14" s="184" t="s">
        <v>556</v>
      </c>
      <c r="F14" s="184">
        <v>1</v>
      </c>
      <c r="G14" s="184" t="s">
        <v>2590</v>
      </c>
      <c r="H14" s="184">
        <v>0.25</v>
      </c>
      <c r="I14" s="362">
        <f>D14*F14*H14</f>
        <v>0.32500000000000001</v>
      </c>
    </row>
    <row r="15" spans="1:15" s="248" customFormat="1" x14ac:dyDescent="0.3">
      <c r="A15" s="184">
        <v>20</v>
      </c>
      <c r="B15" s="180" t="s">
        <v>609</v>
      </c>
      <c r="C15" s="184" t="s">
        <v>2582</v>
      </c>
      <c r="D15" s="362">
        <v>0.04</v>
      </c>
      <c r="E15" s="184" t="s">
        <v>610</v>
      </c>
      <c r="F15" s="184">
        <v>0.5</v>
      </c>
      <c r="G15" s="184" t="s">
        <v>2525</v>
      </c>
      <c r="H15" s="184">
        <v>3</v>
      </c>
      <c r="I15" s="362">
        <f>D15*F15*H15</f>
        <v>0.06</v>
      </c>
    </row>
    <row r="16" spans="1:15" s="248" customFormat="1" ht="28.8" x14ac:dyDescent="0.3">
      <c r="A16" s="184">
        <v>30</v>
      </c>
      <c r="B16" s="193" t="s">
        <v>1249</v>
      </c>
      <c r="C16" s="193" t="s">
        <v>2583</v>
      </c>
      <c r="D16" s="362">
        <v>0.35</v>
      </c>
      <c r="E16" s="184" t="s">
        <v>843</v>
      </c>
      <c r="F16" s="184">
        <v>1</v>
      </c>
      <c r="G16" s="184"/>
      <c r="H16" s="184">
        <v>1</v>
      </c>
      <c r="I16" s="362">
        <f>D16*F16*H16</f>
        <v>0.35</v>
      </c>
    </row>
    <row r="17" spans="1:15" s="248" customFormat="1" ht="33.6" customHeight="1" x14ac:dyDescent="0.3">
      <c r="A17" s="184">
        <v>40</v>
      </c>
      <c r="B17" s="180" t="s">
        <v>785</v>
      </c>
      <c r="C17" s="193" t="s">
        <v>2527</v>
      </c>
      <c r="D17" s="362">
        <v>0.65</v>
      </c>
      <c r="E17" s="184" t="s">
        <v>556</v>
      </c>
      <c r="F17" s="184">
        <v>1</v>
      </c>
      <c r="G17" s="184" t="s">
        <v>2590</v>
      </c>
      <c r="H17" s="184">
        <v>0.25</v>
      </c>
      <c r="I17" s="362">
        <f>D17*F17*H17</f>
        <v>0.16250000000000001</v>
      </c>
    </row>
    <row r="18" spans="1:15" x14ac:dyDescent="0.3">
      <c r="A18" s="184">
        <v>50</v>
      </c>
      <c r="B18" s="180" t="s">
        <v>609</v>
      </c>
      <c r="C18" s="184" t="s">
        <v>2584</v>
      </c>
      <c r="D18" s="362">
        <v>0.04</v>
      </c>
      <c r="E18" s="184" t="s">
        <v>610</v>
      </c>
      <c r="F18" s="184">
        <v>0.1</v>
      </c>
      <c r="G18" s="184" t="s">
        <v>2525</v>
      </c>
      <c r="H18" s="184">
        <v>3</v>
      </c>
      <c r="I18" s="362">
        <f>D18*F18*H18</f>
        <v>1.2E-2</v>
      </c>
    </row>
    <row r="19" spans="1:15" x14ac:dyDescent="0.3">
      <c r="A19" s="178"/>
      <c r="B19" s="178"/>
      <c r="C19" s="178"/>
      <c r="D19" s="178"/>
      <c r="E19" s="178"/>
      <c r="F19" s="178"/>
      <c r="G19" s="178"/>
      <c r="H19" s="752" t="s">
        <v>547</v>
      </c>
      <c r="I19" s="753">
        <f>SUM(I14:I18)</f>
        <v>0.90949999999999998</v>
      </c>
      <c r="J19" s="178"/>
      <c r="K19" s="178"/>
      <c r="L19" s="178"/>
      <c r="M19" s="178"/>
      <c r="N19" s="178"/>
      <c r="O19" s="178"/>
    </row>
    <row r="21" spans="1:15" s="178" customFormat="1" x14ac:dyDescent="0.3"/>
    <row r="24" spans="1:15" s="178" customFormat="1" x14ac:dyDescent="0.3"/>
  </sheetData>
  <pageMargins left="0.5" right="0.5" top="0.75" bottom="0.75" header="0.3" footer="0.3"/>
  <pageSetup paperSize="9" scale="66" orientation="landscape"/>
  <headerFooter alignWithMargins="0"/>
</worksheet>
</file>

<file path=xl/worksheets/sheet2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O21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5.4414062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22" style="16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5" x14ac:dyDescent="0.3">
      <c r="A1" s="759" t="s">
        <v>523</v>
      </c>
      <c r="B1" s="760" t="s">
        <v>524</v>
      </c>
      <c r="C1" s="760"/>
      <c r="D1" s="760"/>
      <c r="E1" s="760"/>
      <c r="F1" s="760"/>
      <c r="G1" s="760"/>
      <c r="H1" s="760"/>
      <c r="I1" s="760"/>
      <c r="J1" s="761" t="s">
        <v>528</v>
      </c>
      <c r="K1" s="762">
        <v>81</v>
      </c>
      <c r="L1" s="760"/>
      <c r="M1" s="759" t="s">
        <v>546</v>
      </c>
      <c r="N1" s="763">
        <f>N11+I17</f>
        <v>0.69433489799999992</v>
      </c>
      <c r="O1" s="760"/>
    </row>
    <row r="2" spans="1:15" x14ac:dyDescent="0.3">
      <c r="A2" s="764" t="s">
        <v>532</v>
      </c>
      <c r="B2" s="760" t="s">
        <v>13</v>
      </c>
      <c r="C2" s="760"/>
      <c r="D2" s="759" t="s">
        <v>536</v>
      </c>
      <c r="E2" s="760"/>
      <c r="F2" s="760"/>
      <c r="G2" s="760"/>
      <c r="H2" s="760"/>
      <c r="I2" s="760"/>
      <c r="J2" s="760"/>
      <c r="K2" s="760"/>
      <c r="L2" s="760"/>
      <c r="M2" s="764" t="s">
        <v>533</v>
      </c>
      <c r="N2" s="765">
        <v>4</v>
      </c>
      <c r="O2" s="760"/>
    </row>
    <row r="3" spans="1:15" x14ac:dyDescent="0.3">
      <c r="A3" s="764" t="s">
        <v>534</v>
      </c>
      <c r="B3" s="760" t="s">
        <v>390</v>
      </c>
      <c r="C3" s="760"/>
      <c r="D3" s="764" t="s">
        <v>538</v>
      </c>
      <c r="E3" s="760"/>
      <c r="F3" s="760"/>
      <c r="G3" s="760"/>
      <c r="H3" s="760"/>
      <c r="I3" s="760"/>
      <c r="J3" s="759" t="s">
        <v>536</v>
      </c>
      <c r="K3" s="760"/>
      <c r="L3" s="760"/>
      <c r="M3" s="760"/>
      <c r="N3" s="760"/>
      <c r="O3" s="760"/>
    </row>
    <row r="4" spans="1:15" x14ac:dyDescent="0.3">
      <c r="A4" s="764" t="s">
        <v>545</v>
      </c>
      <c r="B4" s="766" t="s">
        <v>2585</v>
      </c>
      <c r="C4" s="760"/>
      <c r="D4" s="764" t="s">
        <v>541</v>
      </c>
      <c r="E4" s="760"/>
      <c r="F4" s="760"/>
      <c r="G4" s="760"/>
      <c r="H4" s="760"/>
      <c r="I4" s="760"/>
      <c r="J4" s="764" t="s">
        <v>538</v>
      </c>
      <c r="K4" s="760"/>
      <c r="L4" s="760"/>
      <c r="M4" s="759" t="s">
        <v>539</v>
      </c>
      <c r="N4" s="763">
        <f>N1*N2</f>
        <v>2.7773395919999997</v>
      </c>
      <c r="O4" s="760"/>
    </row>
    <row r="5" spans="1:15" x14ac:dyDescent="0.3">
      <c r="A5" s="764" t="s">
        <v>537</v>
      </c>
      <c r="B5" s="766" t="s">
        <v>393</v>
      </c>
      <c r="C5" s="760"/>
      <c r="D5" s="760"/>
      <c r="E5" s="760"/>
      <c r="F5" s="760"/>
      <c r="G5" s="760"/>
      <c r="H5" s="760"/>
      <c r="I5" s="760"/>
      <c r="J5" s="764" t="s">
        <v>541</v>
      </c>
      <c r="K5" s="760"/>
      <c r="L5" s="760"/>
      <c r="M5" s="760"/>
      <c r="N5" s="760"/>
      <c r="O5" s="760"/>
    </row>
    <row r="6" spans="1:15" x14ac:dyDescent="0.3">
      <c r="A6" s="764" t="s">
        <v>540</v>
      </c>
      <c r="B6" s="760" t="s">
        <v>36</v>
      </c>
      <c r="C6" s="760"/>
      <c r="D6" s="760"/>
      <c r="E6" s="760"/>
      <c r="F6" s="760"/>
      <c r="G6" s="760"/>
      <c r="H6" s="760"/>
      <c r="I6" s="760"/>
      <c r="J6" s="760"/>
      <c r="K6" s="760"/>
      <c r="L6" s="760"/>
      <c r="M6" s="760"/>
      <c r="N6" s="760"/>
      <c r="O6" s="760"/>
    </row>
    <row r="7" spans="1:15" x14ac:dyDescent="0.3">
      <c r="A7" s="764" t="s">
        <v>542</v>
      </c>
      <c r="B7" s="760"/>
      <c r="C7" s="760"/>
      <c r="D7" s="760"/>
      <c r="E7" s="760"/>
      <c r="F7" s="760"/>
      <c r="G7" s="760"/>
      <c r="H7" s="760"/>
      <c r="I7" s="760"/>
      <c r="J7" s="760"/>
      <c r="K7" s="760"/>
      <c r="L7" s="760"/>
      <c r="M7" s="760"/>
      <c r="N7" s="760"/>
      <c r="O7" s="760"/>
    </row>
    <row r="8" spans="1:15" x14ac:dyDescent="0.3">
      <c r="A8" s="760"/>
      <c r="B8" s="760"/>
      <c r="C8" s="760"/>
      <c r="D8" s="760"/>
      <c r="E8" s="760"/>
      <c r="F8" s="760"/>
      <c r="G8" s="760"/>
      <c r="H8" s="760"/>
      <c r="I8" s="760"/>
      <c r="J8" s="760"/>
      <c r="K8" s="760"/>
      <c r="L8" s="760"/>
      <c r="M8" s="760"/>
      <c r="N8" s="760"/>
      <c r="O8" s="760"/>
    </row>
    <row r="9" spans="1:15" x14ac:dyDescent="0.3">
      <c r="A9" s="767" t="s">
        <v>544</v>
      </c>
      <c r="B9" s="768" t="s">
        <v>581</v>
      </c>
      <c r="C9" s="768" t="s">
        <v>549</v>
      </c>
      <c r="D9" s="768" t="s">
        <v>550</v>
      </c>
      <c r="E9" s="768" t="s">
        <v>567</v>
      </c>
      <c r="F9" s="768" t="s">
        <v>568</v>
      </c>
      <c r="G9" s="768" t="s">
        <v>569</v>
      </c>
      <c r="H9" s="768" t="s">
        <v>570</v>
      </c>
      <c r="I9" s="768" t="s">
        <v>582</v>
      </c>
      <c r="J9" s="768" t="s">
        <v>583</v>
      </c>
      <c r="K9" s="768" t="s">
        <v>584</v>
      </c>
      <c r="L9" s="768" t="s">
        <v>585</v>
      </c>
      <c r="M9" s="768" t="s">
        <v>28</v>
      </c>
      <c r="N9" s="768" t="s">
        <v>547</v>
      </c>
      <c r="O9" s="772"/>
    </row>
    <row r="10" spans="1:15" ht="28.8" x14ac:dyDescent="0.3">
      <c r="A10" s="787">
        <v>10</v>
      </c>
      <c r="B10" s="788" t="s">
        <v>707</v>
      </c>
      <c r="C10" s="788" t="s">
        <v>2509</v>
      </c>
      <c r="D10" s="302">
        <v>4.2</v>
      </c>
      <c r="E10" s="168">
        <v>7</v>
      </c>
      <c r="F10" s="168" t="s">
        <v>573</v>
      </c>
      <c r="G10" s="168"/>
      <c r="H10" s="219"/>
      <c r="I10" s="269" t="s">
        <v>2586</v>
      </c>
      <c r="J10" s="227">
        <v>1.54E-4</v>
      </c>
      <c r="K10" s="610">
        <v>3.5000000000000001E-3</v>
      </c>
      <c r="L10" s="219">
        <v>2710</v>
      </c>
      <c r="M10" s="222">
        <v>1</v>
      </c>
      <c r="N10" s="322">
        <f>IF(J10="",D10*M10,D10*J10*K10*L10*M10)</f>
        <v>6.1348980000000006E-3</v>
      </c>
      <c r="O10" s="760"/>
    </row>
    <row r="11" spans="1:15" x14ac:dyDescent="0.3">
      <c r="A11" s="772"/>
      <c r="B11" s="772"/>
      <c r="C11" s="772"/>
      <c r="D11" s="772"/>
      <c r="E11" s="772"/>
      <c r="F11" s="772"/>
      <c r="G11" s="772"/>
      <c r="H11" s="772"/>
      <c r="I11" s="772"/>
      <c r="J11" s="772"/>
      <c r="K11" s="772"/>
      <c r="L11" s="772"/>
      <c r="M11" s="773" t="s">
        <v>547</v>
      </c>
      <c r="N11" s="774">
        <f>N10</f>
        <v>6.1348980000000006E-3</v>
      </c>
      <c r="O11" s="772"/>
    </row>
    <row r="12" spans="1:15" x14ac:dyDescent="0.3">
      <c r="A12" s="760"/>
      <c r="B12" s="760"/>
      <c r="C12" s="760"/>
      <c r="D12" s="760"/>
      <c r="E12" s="760"/>
      <c r="F12" s="760"/>
      <c r="G12" s="760"/>
      <c r="H12" s="760"/>
      <c r="I12" s="760"/>
      <c r="J12" s="760"/>
      <c r="K12" s="760"/>
      <c r="L12" s="760"/>
      <c r="M12" s="760"/>
      <c r="N12" s="760"/>
      <c r="O12" s="760"/>
    </row>
    <row r="13" spans="1:15" x14ac:dyDescent="0.3">
      <c r="A13" s="767" t="s">
        <v>544</v>
      </c>
      <c r="B13" s="768" t="s">
        <v>548</v>
      </c>
      <c r="C13" s="768" t="s">
        <v>549</v>
      </c>
      <c r="D13" s="768" t="s">
        <v>550</v>
      </c>
      <c r="E13" s="768" t="s">
        <v>551</v>
      </c>
      <c r="F13" s="768" t="s">
        <v>28</v>
      </c>
      <c r="G13" s="768" t="s">
        <v>552</v>
      </c>
      <c r="H13" s="768" t="s">
        <v>553</v>
      </c>
      <c r="I13" s="768" t="s">
        <v>547</v>
      </c>
      <c r="J13" s="772"/>
      <c r="K13" s="772"/>
      <c r="L13" s="772"/>
      <c r="M13" s="772"/>
      <c r="N13" s="772"/>
      <c r="O13" s="772"/>
    </row>
    <row r="14" spans="1:15" ht="28.8" x14ac:dyDescent="0.3">
      <c r="A14" s="789">
        <v>10</v>
      </c>
      <c r="B14" s="790" t="s">
        <v>589</v>
      </c>
      <c r="C14" s="791" t="s">
        <v>1635</v>
      </c>
      <c r="D14" s="362">
        <v>1.3</v>
      </c>
      <c r="E14" s="184" t="s">
        <v>556</v>
      </c>
      <c r="F14" s="184">
        <v>1</v>
      </c>
      <c r="G14" s="184" t="s">
        <v>2590</v>
      </c>
      <c r="H14" s="184">
        <v>0.25</v>
      </c>
      <c r="I14" s="362">
        <f>D14*F14*H14</f>
        <v>0.32500000000000001</v>
      </c>
      <c r="J14" s="760"/>
      <c r="K14" s="760"/>
      <c r="L14" s="760"/>
      <c r="M14" s="760"/>
      <c r="N14" s="760"/>
      <c r="O14" s="760"/>
    </row>
    <row r="15" spans="1:15" ht="28.8" x14ac:dyDescent="0.3">
      <c r="A15" s="789">
        <v>20</v>
      </c>
      <c r="B15" s="790" t="s">
        <v>609</v>
      </c>
      <c r="C15" s="791" t="s">
        <v>1636</v>
      </c>
      <c r="D15" s="362">
        <v>0.04</v>
      </c>
      <c r="E15" s="184" t="s">
        <v>610</v>
      </c>
      <c r="F15" s="184">
        <v>0.33</v>
      </c>
      <c r="G15" s="184" t="s">
        <v>723</v>
      </c>
      <c r="H15" s="184">
        <v>1</v>
      </c>
      <c r="I15" s="362">
        <f>D15*F15*H15</f>
        <v>1.3200000000000002E-2</v>
      </c>
      <c r="J15" s="760"/>
      <c r="K15" s="760"/>
      <c r="L15" s="760"/>
      <c r="M15" s="760"/>
      <c r="N15" s="760"/>
      <c r="O15" s="760"/>
    </row>
    <row r="16" spans="1:15" x14ac:dyDescent="0.3">
      <c r="A16" s="789">
        <v>30</v>
      </c>
      <c r="B16" s="791" t="s">
        <v>1612</v>
      </c>
      <c r="C16" s="791" t="s">
        <v>2511</v>
      </c>
      <c r="D16" s="284">
        <v>0.35</v>
      </c>
      <c r="E16" s="184" t="s">
        <v>843</v>
      </c>
      <c r="F16" s="184">
        <v>1</v>
      </c>
      <c r="G16" s="184"/>
      <c r="H16" s="184">
        <v>1</v>
      </c>
      <c r="I16" s="362">
        <f>D16*F16*H16</f>
        <v>0.35</v>
      </c>
      <c r="J16" s="760"/>
      <c r="K16" s="760"/>
      <c r="L16" s="760"/>
      <c r="M16" s="760"/>
      <c r="N16" s="760"/>
      <c r="O16" s="760"/>
    </row>
    <row r="17" spans="1:15" x14ac:dyDescent="0.3">
      <c r="A17" s="772"/>
      <c r="B17" s="772"/>
      <c r="C17" s="772"/>
      <c r="D17" s="772"/>
      <c r="E17" s="772"/>
      <c r="F17" s="772"/>
      <c r="G17" s="772"/>
      <c r="H17" s="773" t="s">
        <v>547</v>
      </c>
      <c r="I17" s="753">
        <f>SUM(I14:I16)</f>
        <v>0.68819999999999992</v>
      </c>
      <c r="J17" s="772"/>
      <c r="K17" s="772"/>
      <c r="L17" s="772"/>
      <c r="M17" s="772"/>
      <c r="N17" s="772"/>
      <c r="O17" s="772"/>
    </row>
    <row r="18" spans="1:15" s="178" customFormat="1" x14ac:dyDescent="0.3">
      <c r="D18" s="728"/>
      <c r="E18" s="161"/>
      <c r="F18" s="161"/>
      <c r="G18" s="161"/>
      <c r="H18" s="724"/>
      <c r="I18" s="727"/>
      <c r="J18" s="726"/>
      <c r="K18" s="792"/>
      <c r="L18" s="724"/>
      <c r="M18" s="793"/>
      <c r="N18" s="336"/>
    </row>
    <row r="19" spans="1:15" x14ac:dyDescent="0.3">
      <c r="D19" s="353"/>
      <c r="H19" s="724"/>
      <c r="I19" s="736"/>
      <c r="J19" s="737"/>
      <c r="K19" s="724"/>
      <c r="L19" s="724"/>
      <c r="M19" s="793"/>
      <c r="N19" s="336"/>
    </row>
    <row r="21" spans="1:15" s="178" customFormat="1" x14ac:dyDescent="0.3"/>
  </sheetData>
  <pageMargins left="0.5" right="0.5" top="0.75" bottom="0.75" header="0.3" footer="0.3"/>
  <pageSetup paperSize="9" scale="67" orientation="landscape"/>
  <headerFooter alignWithMargins="0"/>
</worksheet>
</file>

<file path=xl/worksheets/sheet2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O28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5.6640625" style="161" bestFit="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22.44140625" style="16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5" x14ac:dyDescent="0.3">
      <c r="A1" s="759" t="s">
        <v>523</v>
      </c>
      <c r="B1" s="760" t="s">
        <v>524</v>
      </c>
      <c r="C1" s="760"/>
      <c r="D1" s="760"/>
      <c r="E1" s="760"/>
      <c r="F1" s="760"/>
      <c r="G1" s="760"/>
      <c r="H1" s="760"/>
      <c r="I1" s="760"/>
      <c r="J1" s="761" t="s">
        <v>528</v>
      </c>
      <c r="K1" s="762">
        <v>81</v>
      </c>
      <c r="L1" s="760"/>
      <c r="M1" s="759" t="s">
        <v>546</v>
      </c>
      <c r="N1" s="763">
        <f>N11+I17</f>
        <v>0.69559338199999987</v>
      </c>
      <c r="O1" s="760"/>
    </row>
    <row r="2" spans="1:15" x14ac:dyDescent="0.3">
      <c r="A2" s="764" t="s">
        <v>532</v>
      </c>
      <c r="B2" s="760" t="s">
        <v>13</v>
      </c>
      <c r="C2" s="760"/>
      <c r="D2" s="759" t="s">
        <v>536</v>
      </c>
      <c r="E2" s="760"/>
      <c r="F2" s="760"/>
      <c r="G2" s="760"/>
      <c r="H2" s="760"/>
      <c r="I2" s="760"/>
      <c r="J2" s="760"/>
      <c r="K2" s="760"/>
      <c r="L2" s="760"/>
      <c r="M2" s="764" t="s">
        <v>533</v>
      </c>
      <c r="N2" s="765">
        <v>4</v>
      </c>
      <c r="O2" s="760"/>
    </row>
    <row r="3" spans="1:15" x14ac:dyDescent="0.3">
      <c r="A3" s="764" t="s">
        <v>534</v>
      </c>
      <c r="B3" s="760" t="s">
        <v>390</v>
      </c>
      <c r="C3" s="760"/>
      <c r="D3" s="764" t="s">
        <v>538</v>
      </c>
      <c r="E3" s="760"/>
      <c r="F3" s="760"/>
      <c r="G3" s="760"/>
      <c r="H3" s="760"/>
      <c r="I3" s="760"/>
      <c r="J3" s="759" t="s">
        <v>536</v>
      </c>
      <c r="K3" s="760"/>
      <c r="L3" s="760"/>
      <c r="M3" s="760"/>
      <c r="N3" s="760"/>
      <c r="O3" s="760"/>
    </row>
    <row r="4" spans="1:15" x14ac:dyDescent="0.3">
      <c r="A4" s="764" t="s">
        <v>545</v>
      </c>
      <c r="B4" s="766" t="s">
        <v>2587</v>
      </c>
      <c r="C4" s="760"/>
      <c r="D4" s="764" t="s">
        <v>541</v>
      </c>
      <c r="E4" s="760"/>
      <c r="F4" s="760"/>
      <c r="G4" s="760"/>
      <c r="H4" s="760"/>
      <c r="I4" s="760"/>
      <c r="J4" s="764" t="s">
        <v>538</v>
      </c>
      <c r="K4" s="760"/>
      <c r="L4" s="760"/>
      <c r="M4" s="759" t="s">
        <v>539</v>
      </c>
      <c r="N4" s="763">
        <f>N1*N2</f>
        <v>2.7823735279999995</v>
      </c>
      <c r="O4" s="760"/>
    </row>
    <row r="5" spans="1:15" x14ac:dyDescent="0.3">
      <c r="A5" s="764" t="s">
        <v>537</v>
      </c>
      <c r="B5" s="766" t="s">
        <v>395</v>
      </c>
      <c r="C5" s="760"/>
      <c r="D5" s="760"/>
      <c r="E5" s="760"/>
      <c r="F5" s="760"/>
      <c r="G5" s="760"/>
      <c r="H5" s="760"/>
      <c r="I5" s="760"/>
      <c r="J5" s="764" t="s">
        <v>541</v>
      </c>
      <c r="K5" s="760"/>
      <c r="L5" s="760"/>
      <c r="M5" s="760"/>
      <c r="N5" s="760"/>
      <c r="O5" s="760"/>
    </row>
    <row r="6" spans="1:15" x14ac:dyDescent="0.3">
      <c r="A6" s="764" t="s">
        <v>540</v>
      </c>
      <c r="B6" s="760" t="s">
        <v>36</v>
      </c>
      <c r="C6" s="760"/>
      <c r="D6" s="760"/>
      <c r="E6" s="760"/>
      <c r="F6" s="760"/>
      <c r="G6" s="760"/>
      <c r="H6" s="760"/>
      <c r="I6" s="760"/>
      <c r="J6" s="760"/>
      <c r="K6" s="760"/>
      <c r="L6" s="760"/>
      <c r="M6" s="760"/>
      <c r="N6" s="760"/>
      <c r="O6" s="760"/>
    </row>
    <row r="7" spans="1:15" x14ac:dyDescent="0.3">
      <c r="A7" s="764" t="s">
        <v>542</v>
      </c>
      <c r="B7" s="760"/>
      <c r="C7" s="760"/>
      <c r="D7" s="760"/>
      <c r="E7" s="760"/>
      <c r="F7" s="760"/>
      <c r="G7" s="760"/>
      <c r="H7" s="760"/>
      <c r="I7" s="760"/>
      <c r="J7" s="760"/>
      <c r="K7" s="760"/>
      <c r="L7" s="760"/>
      <c r="M7" s="760"/>
      <c r="N7" s="760"/>
      <c r="O7" s="760"/>
    </row>
    <row r="8" spans="1:15" x14ac:dyDescent="0.3">
      <c r="A8" s="760"/>
      <c r="B8" s="760"/>
      <c r="C8" s="760"/>
      <c r="D8" s="760"/>
      <c r="E8" s="760"/>
      <c r="F8" s="760"/>
      <c r="G8" s="760"/>
      <c r="H8" s="760"/>
      <c r="I8" s="760"/>
      <c r="J8" s="760"/>
      <c r="K8" s="760"/>
      <c r="L8" s="760"/>
      <c r="M8" s="760"/>
      <c r="N8" s="760"/>
      <c r="O8" s="760"/>
    </row>
    <row r="9" spans="1:15" x14ac:dyDescent="0.3">
      <c r="A9" s="767" t="s">
        <v>544</v>
      </c>
      <c r="B9" s="768" t="s">
        <v>581</v>
      </c>
      <c r="C9" s="768" t="s">
        <v>549</v>
      </c>
      <c r="D9" s="768" t="s">
        <v>550</v>
      </c>
      <c r="E9" s="768" t="s">
        <v>567</v>
      </c>
      <c r="F9" s="768" t="s">
        <v>568</v>
      </c>
      <c r="G9" s="768" t="s">
        <v>569</v>
      </c>
      <c r="H9" s="768" t="s">
        <v>570</v>
      </c>
      <c r="I9" s="768" t="s">
        <v>582</v>
      </c>
      <c r="J9" s="768" t="s">
        <v>583</v>
      </c>
      <c r="K9" s="768" t="s">
        <v>584</v>
      </c>
      <c r="L9" s="768" t="s">
        <v>585</v>
      </c>
      <c r="M9" s="768" t="s">
        <v>28</v>
      </c>
      <c r="N9" s="768" t="s">
        <v>547</v>
      </c>
      <c r="O9" s="772"/>
    </row>
    <row r="10" spans="1:15" ht="28.8" x14ac:dyDescent="0.3">
      <c r="A10" s="787">
        <v>10</v>
      </c>
      <c r="B10" s="788" t="s">
        <v>707</v>
      </c>
      <c r="C10" s="720" t="s">
        <v>2509</v>
      </c>
      <c r="D10" s="302">
        <v>4.2</v>
      </c>
      <c r="E10" s="168">
        <v>7</v>
      </c>
      <c r="F10" s="168" t="s">
        <v>573</v>
      </c>
      <c r="G10" s="168"/>
      <c r="H10" s="219"/>
      <c r="I10" s="269" t="s">
        <v>2586</v>
      </c>
      <c r="J10" s="227">
        <v>1.54E-4</v>
      </c>
      <c r="K10" s="610">
        <v>6.4999999999999997E-3</v>
      </c>
      <c r="L10" s="219">
        <v>2710</v>
      </c>
      <c r="M10" s="222">
        <v>1</v>
      </c>
      <c r="N10" s="322">
        <f>IF(J10="",D10*M10,D10*J10*K10*L10*M10)</f>
        <v>1.1393381999999999E-2</v>
      </c>
      <c r="O10" s="760"/>
    </row>
    <row r="11" spans="1:15" x14ac:dyDescent="0.3">
      <c r="A11" s="772"/>
      <c r="B11" s="772"/>
      <c r="C11" s="772"/>
      <c r="D11" s="772"/>
      <c r="E11" s="772"/>
      <c r="F11" s="772"/>
      <c r="G11" s="772"/>
      <c r="H11" s="772"/>
      <c r="I11" s="772"/>
      <c r="J11" s="772"/>
      <c r="K11" s="772"/>
      <c r="L11" s="772"/>
      <c r="M11" s="773" t="s">
        <v>547</v>
      </c>
      <c r="N11" s="774">
        <f>N10</f>
        <v>1.1393381999999999E-2</v>
      </c>
      <c r="O11" s="772"/>
    </row>
    <row r="12" spans="1:15" x14ac:dyDescent="0.3">
      <c r="A12" s="760"/>
      <c r="B12" s="760"/>
      <c r="C12" s="760"/>
      <c r="D12" s="760"/>
      <c r="E12" s="760"/>
      <c r="F12" s="760"/>
      <c r="G12" s="760"/>
      <c r="H12" s="760"/>
      <c r="I12" s="760"/>
      <c r="J12" s="760"/>
      <c r="K12" s="760"/>
      <c r="L12" s="760"/>
      <c r="M12" s="760"/>
      <c r="N12" s="760"/>
      <c r="O12" s="760"/>
    </row>
    <row r="13" spans="1:15" x14ac:dyDescent="0.3">
      <c r="A13" s="767" t="s">
        <v>544</v>
      </c>
      <c r="B13" s="768" t="s">
        <v>548</v>
      </c>
      <c r="C13" s="768" t="s">
        <v>549</v>
      </c>
      <c r="D13" s="768" t="s">
        <v>550</v>
      </c>
      <c r="E13" s="768" t="s">
        <v>551</v>
      </c>
      <c r="F13" s="768" t="s">
        <v>28</v>
      </c>
      <c r="G13" s="768" t="s">
        <v>552</v>
      </c>
      <c r="H13" s="768" t="s">
        <v>553</v>
      </c>
      <c r="I13" s="768" t="s">
        <v>547</v>
      </c>
      <c r="J13" s="772"/>
      <c r="K13" s="772"/>
      <c r="L13" s="772"/>
      <c r="M13" s="772"/>
      <c r="N13" s="772"/>
      <c r="O13" s="772"/>
    </row>
    <row r="14" spans="1:15" ht="28.8" x14ac:dyDescent="0.3">
      <c r="A14" s="789">
        <v>10</v>
      </c>
      <c r="B14" s="790" t="s">
        <v>589</v>
      </c>
      <c r="C14" s="791" t="s">
        <v>1635</v>
      </c>
      <c r="D14" s="362">
        <v>1.3</v>
      </c>
      <c r="E14" s="184" t="s">
        <v>556</v>
      </c>
      <c r="F14" s="184">
        <v>1</v>
      </c>
      <c r="G14" s="184" t="s">
        <v>2590</v>
      </c>
      <c r="H14" s="184">
        <v>0.25</v>
      </c>
      <c r="I14" s="322">
        <f>D14*F14*H14</f>
        <v>0.32500000000000001</v>
      </c>
      <c r="J14" s="760"/>
      <c r="K14" s="760"/>
      <c r="L14" s="760"/>
      <c r="M14" s="760"/>
      <c r="N14" s="760"/>
      <c r="O14" s="760"/>
    </row>
    <row r="15" spans="1:15" ht="28.8" x14ac:dyDescent="0.3">
      <c r="A15" s="789">
        <v>20</v>
      </c>
      <c r="B15" s="790" t="s">
        <v>609</v>
      </c>
      <c r="C15" s="791" t="s">
        <v>1636</v>
      </c>
      <c r="D15" s="362">
        <v>0.04</v>
      </c>
      <c r="E15" s="184" t="s">
        <v>610</v>
      </c>
      <c r="F15" s="184">
        <v>0.23</v>
      </c>
      <c r="G15" s="184" t="s">
        <v>723</v>
      </c>
      <c r="H15" s="184">
        <v>1</v>
      </c>
      <c r="I15" s="322">
        <f>D15*F15*H15</f>
        <v>9.1999999999999998E-3</v>
      </c>
      <c r="J15" s="760"/>
      <c r="K15" s="760"/>
      <c r="L15" s="760"/>
      <c r="M15" s="760"/>
      <c r="N15" s="760"/>
      <c r="O15" s="760"/>
    </row>
    <row r="16" spans="1:15" x14ac:dyDescent="0.3">
      <c r="A16" s="789">
        <v>30</v>
      </c>
      <c r="B16" s="791" t="s">
        <v>1612</v>
      </c>
      <c r="C16" s="791" t="s">
        <v>2511</v>
      </c>
      <c r="D16" s="284">
        <v>0.35</v>
      </c>
      <c r="E16" s="184" t="s">
        <v>843</v>
      </c>
      <c r="F16" s="184">
        <v>1</v>
      </c>
      <c r="G16" s="184"/>
      <c r="H16" s="184">
        <v>1</v>
      </c>
      <c r="I16" s="322">
        <f>D16*F16*H16</f>
        <v>0.35</v>
      </c>
      <c r="J16" s="760"/>
      <c r="K16" s="760"/>
      <c r="L16" s="760"/>
      <c r="M16" s="760"/>
      <c r="N16" s="760"/>
      <c r="O16" s="760"/>
    </row>
    <row r="17" spans="1:15" x14ac:dyDescent="0.3">
      <c r="A17" s="772"/>
      <c r="B17" s="772"/>
      <c r="C17" s="772"/>
      <c r="D17" s="772"/>
      <c r="E17" s="772"/>
      <c r="F17" s="772"/>
      <c r="G17" s="772"/>
      <c r="H17" s="773" t="s">
        <v>547</v>
      </c>
      <c r="I17" s="774">
        <f>SUM(I14:I16)</f>
        <v>0.68419999999999992</v>
      </c>
      <c r="J17" s="772"/>
      <c r="K17" s="772"/>
      <c r="L17" s="772"/>
      <c r="M17" s="772"/>
      <c r="N17" s="772"/>
      <c r="O17" s="772"/>
    </row>
    <row r="18" spans="1:15" x14ac:dyDescent="0.3">
      <c r="A18" s="760"/>
      <c r="B18" s="760"/>
      <c r="C18" s="760"/>
      <c r="D18" s="760"/>
      <c r="E18" s="760"/>
      <c r="F18" s="760"/>
      <c r="G18" s="760"/>
      <c r="H18" s="762"/>
      <c r="I18" s="763"/>
      <c r="J18" s="760"/>
      <c r="K18" s="760"/>
      <c r="L18" s="760"/>
      <c r="M18" s="760"/>
      <c r="N18" s="760"/>
      <c r="O18" s="760"/>
    </row>
    <row r="19" spans="1:15" s="178" customFormat="1" x14ac:dyDescent="0.3">
      <c r="A19" s="760"/>
      <c r="B19" s="760"/>
      <c r="C19" s="760"/>
      <c r="D19" s="760"/>
      <c r="E19" s="760"/>
      <c r="F19" s="760"/>
      <c r="G19" s="760"/>
      <c r="H19" s="760"/>
      <c r="I19" s="760"/>
      <c r="J19" s="760"/>
      <c r="K19" s="760"/>
      <c r="L19" s="760"/>
      <c r="M19" s="760"/>
      <c r="N19" s="760"/>
      <c r="O19" s="772"/>
    </row>
    <row r="20" spans="1:15" x14ac:dyDescent="0.3">
      <c r="D20" s="794"/>
      <c r="E20" s="795"/>
      <c r="F20" s="795"/>
      <c r="G20" s="795"/>
      <c r="H20" s="796"/>
      <c r="I20" s="797"/>
      <c r="J20" s="798"/>
      <c r="K20" s="799"/>
      <c r="L20" s="796"/>
      <c r="M20" s="795"/>
      <c r="N20" s="794"/>
    </row>
    <row r="21" spans="1:15" s="178" customFormat="1" x14ac:dyDescent="0.3">
      <c r="D21" s="728"/>
      <c r="E21" s="161"/>
      <c r="F21" s="161"/>
      <c r="G21" s="161"/>
      <c r="H21" s="724"/>
      <c r="I21" s="727"/>
      <c r="J21" s="726"/>
      <c r="K21" s="792"/>
      <c r="L21" s="724"/>
      <c r="M21" s="793"/>
      <c r="N21" s="336"/>
    </row>
    <row r="22" spans="1:15" x14ac:dyDescent="0.3">
      <c r="D22" s="353"/>
      <c r="H22" s="724"/>
      <c r="I22" s="736"/>
      <c r="J22" s="737"/>
      <c r="K22" s="724"/>
      <c r="L22" s="724"/>
      <c r="M22" s="793"/>
      <c r="N22" s="336"/>
    </row>
    <row r="23" spans="1:15" x14ac:dyDescent="0.3">
      <c r="D23" s="353"/>
      <c r="H23" s="724"/>
      <c r="I23" s="800"/>
      <c r="J23" s="737"/>
      <c r="K23" s="724"/>
      <c r="L23" s="726"/>
      <c r="M23" s="793"/>
      <c r="N23" s="336"/>
    </row>
    <row r="24" spans="1:15" s="178" customFormat="1" x14ac:dyDescent="0.3">
      <c r="D24" s="353"/>
      <c r="E24" s="161"/>
      <c r="F24" s="161"/>
      <c r="G24" s="161"/>
      <c r="H24" s="724"/>
      <c r="I24" s="800"/>
      <c r="J24" s="737"/>
      <c r="K24" s="724"/>
      <c r="L24" s="724"/>
      <c r="M24" s="793"/>
      <c r="N24" s="336"/>
    </row>
    <row r="25" spans="1:15" x14ac:dyDescent="0.3">
      <c r="D25" s="353"/>
      <c r="H25" s="724"/>
      <c r="I25" s="800"/>
      <c r="J25" s="737"/>
      <c r="K25" s="724"/>
      <c r="L25" s="724"/>
      <c r="M25" s="793"/>
      <c r="N25" s="336"/>
    </row>
    <row r="26" spans="1:15" x14ac:dyDescent="0.3">
      <c r="D26" s="353"/>
      <c r="H26" s="724"/>
      <c r="I26" s="800"/>
      <c r="J26" s="737"/>
      <c r="K26" s="724"/>
      <c r="L26" s="724"/>
      <c r="M26" s="793"/>
      <c r="N26" s="336"/>
    </row>
    <row r="27" spans="1:15" x14ac:dyDescent="0.3">
      <c r="D27" s="353"/>
      <c r="F27" s="801"/>
      <c r="H27" s="724"/>
      <c r="I27" s="800"/>
      <c r="J27" s="737"/>
      <c r="K27" s="724"/>
      <c r="L27" s="724"/>
      <c r="M27" s="793"/>
      <c r="N27" s="336"/>
    </row>
    <row r="28" spans="1:15" x14ac:dyDescent="0.3">
      <c r="D28" s="353"/>
      <c r="F28" s="801"/>
      <c r="H28" s="724"/>
      <c r="I28" s="800"/>
      <c r="J28" s="737"/>
      <c r="K28" s="724"/>
      <c r="L28" s="724"/>
      <c r="M28" s="793"/>
      <c r="N28" s="336"/>
    </row>
  </sheetData>
  <pageMargins left="0.5" right="0.5" top="0.75" bottom="0.75" header="0.3" footer="0.3"/>
  <pageSetup paperSize="9" scale="63" orientation="landscape"/>
  <headerFooter alignWithMargins="0"/>
</worksheet>
</file>

<file path=xl/worksheets/sheet2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N17"/>
  <sheetViews>
    <sheetView showGridLines="0" workbookViewId="0"/>
  </sheetViews>
  <sheetFormatPr defaultColWidth="11.5546875" defaultRowHeight="14.4" x14ac:dyDescent="0.3"/>
  <cols>
    <col min="2" max="2" width="13.44140625" customWidth="1"/>
    <col min="3" max="3" width="22.44140625" customWidth="1"/>
    <col min="13" max="13" width="13.6640625" bestFit="1" customWidth="1"/>
  </cols>
  <sheetData>
    <row r="1" spans="1:14" x14ac:dyDescent="0.3">
      <c r="A1" s="759" t="s">
        <v>523</v>
      </c>
      <c r="B1" s="760" t="s">
        <v>524</v>
      </c>
      <c r="C1" s="760"/>
      <c r="D1" s="760"/>
      <c r="E1" s="760"/>
      <c r="F1" s="760"/>
      <c r="G1" s="760"/>
      <c r="H1" s="760"/>
      <c r="I1" s="760"/>
      <c r="J1" s="761" t="s">
        <v>528</v>
      </c>
      <c r="K1" s="762">
        <v>81</v>
      </c>
      <c r="L1" s="760"/>
      <c r="M1" s="759" t="s">
        <v>546</v>
      </c>
      <c r="N1" s="336">
        <f>N11+I15</f>
        <v>0.53133410070000009</v>
      </c>
    </row>
    <row r="2" spans="1:14" x14ac:dyDescent="0.3">
      <c r="A2" s="764" t="s">
        <v>532</v>
      </c>
      <c r="B2" s="760" t="s">
        <v>13</v>
      </c>
      <c r="C2" s="760"/>
      <c r="D2" s="759" t="s">
        <v>536</v>
      </c>
      <c r="E2" s="760"/>
      <c r="F2" s="760"/>
      <c r="G2" s="760"/>
      <c r="H2" s="760"/>
      <c r="I2" s="760"/>
      <c r="J2" s="760"/>
      <c r="K2" s="760"/>
      <c r="L2" s="760"/>
      <c r="M2" s="764" t="s">
        <v>533</v>
      </c>
      <c r="N2" s="165">
        <v>2</v>
      </c>
    </row>
    <row r="3" spans="1:14" x14ac:dyDescent="0.3">
      <c r="A3" s="764" t="s">
        <v>534</v>
      </c>
      <c r="B3" s="760" t="s">
        <v>390</v>
      </c>
      <c r="C3" s="760"/>
      <c r="D3" s="764" t="s">
        <v>538</v>
      </c>
      <c r="E3" s="760"/>
      <c r="F3" s="760"/>
      <c r="G3" s="760"/>
      <c r="H3" s="760"/>
      <c r="I3" s="760"/>
      <c r="J3" s="759" t="s">
        <v>536</v>
      </c>
      <c r="K3" s="760"/>
      <c r="L3" s="760"/>
      <c r="M3" s="760"/>
      <c r="N3" s="161"/>
    </row>
    <row r="4" spans="1:14" x14ac:dyDescent="0.3">
      <c r="A4" s="764" t="s">
        <v>545</v>
      </c>
      <c r="B4" s="766" t="s">
        <v>2588</v>
      </c>
      <c r="C4" s="766"/>
      <c r="D4" s="764" t="s">
        <v>541</v>
      </c>
      <c r="E4" s="760"/>
      <c r="F4" s="760"/>
      <c r="G4" s="760"/>
      <c r="H4" s="760"/>
      <c r="I4" s="760"/>
      <c r="J4" s="764" t="s">
        <v>538</v>
      </c>
      <c r="K4" s="760"/>
      <c r="L4" s="760"/>
      <c r="M4" s="759" t="s">
        <v>539</v>
      </c>
      <c r="N4" s="336">
        <f>N1*N2</f>
        <v>1.0626682014000002</v>
      </c>
    </row>
    <row r="5" spans="1:14" x14ac:dyDescent="0.3">
      <c r="A5" s="764" t="s">
        <v>537</v>
      </c>
      <c r="B5" s="766" t="s">
        <v>397</v>
      </c>
      <c r="C5" s="760"/>
      <c r="D5" s="760"/>
      <c r="E5" s="760"/>
      <c r="F5" s="760"/>
      <c r="G5" s="760"/>
      <c r="H5" s="760"/>
      <c r="I5" s="760"/>
      <c r="J5" s="764" t="s">
        <v>541</v>
      </c>
      <c r="K5" s="760"/>
      <c r="L5" s="760"/>
      <c r="M5" s="760"/>
      <c r="N5" s="760"/>
    </row>
    <row r="6" spans="1:14" x14ac:dyDescent="0.3">
      <c r="A6" s="764" t="s">
        <v>540</v>
      </c>
      <c r="B6" s="760" t="s">
        <v>36</v>
      </c>
      <c r="C6" s="760"/>
      <c r="D6" s="760"/>
      <c r="E6" s="760"/>
      <c r="F6" s="760"/>
      <c r="G6" s="760"/>
      <c r="H6" s="760"/>
      <c r="I6" s="760"/>
      <c r="J6" s="760"/>
      <c r="K6" s="760"/>
      <c r="L6" s="760"/>
      <c r="M6" s="760"/>
      <c r="N6" s="760"/>
    </row>
    <row r="7" spans="1:14" x14ac:dyDescent="0.3">
      <c r="A7" s="764" t="s">
        <v>542</v>
      </c>
      <c r="B7" s="760"/>
      <c r="C7" s="760"/>
      <c r="D7" s="760"/>
      <c r="E7" s="760"/>
      <c r="F7" s="760"/>
      <c r="G7" s="760"/>
      <c r="H7" s="760"/>
      <c r="I7" s="760"/>
      <c r="J7" s="760"/>
      <c r="K7" s="760"/>
      <c r="L7" s="760"/>
      <c r="M7" s="760"/>
      <c r="N7" s="760"/>
    </row>
    <row r="8" spans="1:14" x14ac:dyDescent="0.3">
      <c r="A8" s="760"/>
      <c r="B8" s="760"/>
      <c r="C8" s="760"/>
      <c r="D8" s="760"/>
      <c r="E8" s="760"/>
      <c r="F8" s="760"/>
      <c r="G8" s="760"/>
      <c r="H8" s="760"/>
      <c r="I8" s="760"/>
      <c r="J8" s="760"/>
      <c r="K8" s="760"/>
      <c r="L8" s="760"/>
      <c r="M8" s="760"/>
      <c r="N8" s="760"/>
    </row>
    <row r="9" spans="1:14" x14ac:dyDescent="0.3">
      <c r="A9" s="767" t="s">
        <v>544</v>
      </c>
      <c r="B9" s="768" t="s">
        <v>581</v>
      </c>
      <c r="C9" s="768" t="s">
        <v>549</v>
      </c>
      <c r="D9" s="768" t="s">
        <v>550</v>
      </c>
      <c r="E9" s="768" t="s">
        <v>567</v>
      </c>
      <c r="F9" s="768" t="s">
        <v>568</v>
      </c>
      <c r="G9" s="768" t="s">
        <v>569</v>
      </c>
      <c r="H9" s="768" t="s">
        <v>570</v>
      </c>
      <c r="I9" s="768" t="s">
        <v>582</v>
      </c>
      <c r="J9" s="768" t="s">
        <v>583</v>
      </c>
      <c r="K9" s="768" t="s">
        <v>584</v>
      </c>
      <c r="L9" s="768" t="s">
        <v>585</v>
      </c>
      <c r="M9" s="768" t="s">
        <v>28</v>
      </c>
      <c r="N9" s="768" t="s">
        <v>547</v>
      </c>
    </row>
    <row r="10" spans="1:14" x14ac:dyDescent="0.3">
      <c r="A10" s="787">
        <v>10</v>
      </c>
      <c r="B10" s="788" t="s">
        <v>894</v>
      </c>
      <c r="C10" s="788" t="s">
        <v>2589</v>
      </c>
      <c r="D10" s="302">
        <v>2.25</v>
      </c>
      <c r="E10" s="787">
        <v>6</v>
      </c>
      <c r="F10" s="788" t="s">
        <v>573</v>
      </c>
      <c r="G10" s="788">
        <v>4.5</v>
      </c>
      <c r="H10" s="802" t="s">
        <v>2522</v>
      </c>
      <c r="I10" s="803"/>
      <c r="J10" s="804">
        <v>4.9480000000000001E-5</v>
      </c>
      <c r="K10" s="805">
        <v>0.40150000000000002</v>
      </c>
      <c r="L10" s="802">
        <v>7860</v>
      </c>
      <c r="M10" s="788">
        <v>1</v>
      </c>
      <c r="N10" s="322">
        <f>IF(J10="",D10*M10,D10*J10*K10*L10*M10)</f>
        <v>0.35133410070000004</v>
      </c>
    </row>
    <row r="11" spans="1:14" x14ac:dyDescent="0.3">
      <c r="A11" s="772"/>
      <c r="B11" s="772"/>
      <c r="C11" s="772"/>
      <c r="D11" s="772"/>
      <c r="E11" s="772"/>
      <c r="F11" s="772"/>
      <c r="G11" s="772"/>
      <c r="H11" s="772"/>
      <c r="I11" s="772"/>
      <c r="J11" s="772"/>
      <c r="K11" s="772"/>
      <c r="L11" s="772"/>
      <c r="M11" s="773" t="s">
        <v>547</v>
      </c>
      <c r="N11" s="774">
        <f>N10</f>
        <v>0.35133410070000004</v>
      </c>
    </row>
    <row r="12" spans="1:14" x14ac:dyDescent="0.3">
      <c r="A12" s="760"/>
      <c r="B12" s="760"/>
      <c r="C12" s="760"/>
      <c r="D12" s="760"/>
      <c r="E12" s="760"/>
      <c r="F12" s="760"/>
      <c r="G12" s="760"/>
      <c r="H12" s="760"/>
      <c r="I12" s="760"/>
      <c r="J12" s="760"/>
      <c r="K12" s="760"/>
      <c r="L12" s="760"/>
      <c r="M12" s="760"/>
      <c r="N12" s="760"/>
    </row>
    <row r="13" spans="1:14" x14ac:dyDescent="0.3">
      <c r="A13" s="767" t="s">
        <v>544</v>
      </c>
      <c r="B13" s="768" t="s">
        <v>548</v>
      </c>
      <c r="C13" s="768" t="s">
        <v>549</v>
      </c>
      <c r="D13" s="768" t="s">
        <v>550</v>
      </c>
      <c r="E13" s="768" t="s">
        <v>551</v>
      </c>
      <c r="F13" s="768" t="s">
        <v>28</v>
      </c>
      <c r="G13" s="768" t="s">
        <v>552</v>
      </c>
      <c r="H13" s="768" t="s">
        <v>553</v>
      </c>
      <c r="I13" s="768" t="s">
        <v>547</v>
      </c>
      <c r="J13" s="772"/>
      <c r="K13" s="772"/>
      <c r="L13" s="772"/>
      <c r="M13" s="772"/>
      <c r="N13" s="772"/>
    </row>
    <row r="14" spans="1:14" x14ac:dyDescent="0.3">
      <c r="A14" s="720">
        <v>10</v>
      </c>
      <c r="B14" s="649" t="s">
        <v>668</v>
      </c>
      <c r="C14" s="720" t="s">
        <v>1428</v>
      </c>
      <c r="D14" s="734">
        <v>0.15</v>
      </c>
      <c r="E14" s="720" t="s">
        <v>593</v>
      </c>
      <c r="F14" s="720">
        <v>1.2</v>
      </c>
      <c r="G14" s="720"/>
      <c r="H14" s="720"/>
      <c r="I14" s="170">
        <f>F14*D14</f>
        <v>0.18</v>
      </c>
      <c r="J14" s="760"/>
      <c r="K14" s="760"/>
      <c r="L14" s="760"/>
      <c r="M14" s="760"/>
      <c r="N14" s="760"/>
    </row>
    <row r="15" spans="1:14" x14ac:dyDescent="0.3">
      <c r="A15" s="772"/>
      <c r="B15" s="772"/>
      <c r="C15" s="772"/>
      <c r="D15" s="772"/>
      <c r="E15" s="772"/>
      <c r="F15" s="772"/>
      <c r="G15" s="772"/>
      <c r="H15" s="773" t="s">
        <v>547</v>
      </c>
      <c r="I15" s="774">
        <f>I14</f>
        <v>0.18</v>
      </c>
      <c r="J15" s="772"/>
      <c r="K15" s="772"/>
      <c r="L15" s="772"/>
      <c r="M15" s="772"/>
      <c r="N15" s="772"/>
    </row>
    <row r="16" spans="1:14" x14ac:dyDescent="0.3">
      <c r="A16" s="760"/>
      <c r="B16" s="760"/>
      <c r="C16" s="760"/>
      <c r="D16" s="760"/>
      <c r="E16" s="760"/>
      <c r="F16" s="760"/>
      <c r="G16" s="760"/>
      <c r="H16" s="760"/>
      <c r="I16" s="760"/>
      <c r="J16" s="760"/>
      <c r="K16" s="760"/>
      <c r="L16" s="760"/>
      <c r="M16" s="760"/>
      <c r="N16" s="760"/>
    </row>
    <row r="17" spans="1:14" x14ac:dyDescent="0.3">
      <c r="A17" s="806"/>
      <c r="B17" s="806"/>
      <c r="C17" s="806"/>
      <c r="D17" s="806"/>
      <c r="E17" s="806"/>
      <c r="F17" s="806"/>
      <c r="G17" s="806"/>
      <c r="H17" s="806"/>
      <c r="I17" s="806"/>
      <c r="J17" s="806"/>
      <c r="K17" s="806"/>
      <c r="L17" s="806"/>
      <c r="M17" s="806"/>
      <c r="N17" s="806"/>
    </row>
  </sheetData>
  <pageMargins left="0.78740157499999996" right="0.78740157499999996" top="0.984251969" bottom="0.984251969" header="0.5" footer="0.5"/>
  <pageSetup paperSize="9" scale="73" fitToHeight="0" orientation="landscape"/>
  <headerFooter alignWithMargins="0"/>
</worksheet>
</file>

<file path=xl/worksheets/sheet2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499984740745262"/>
    <pageSetUpPr fitToPage="1"/>
  </sheetPr>
  <dimension ref="A1:N46"/>
  <sheetViews>
    <sheetView showGridLines="0" workbookViewId="0"/>
  </sheetViews>
  <sheetFormatPr defaultColWidth="11.5546875" defaultRowHeight="14.4" x14ac:dyDescent="0.3"/>
  <cols>
    <col min="2" max="2" width="22.109375" customWidth="1"/>
    <col min="3" max="3" width="25.109375" customWidth="1"/>
    <col min="8" max="8" width="15.77734375" bestFit="1" customWidth="1"/>
    <col min="13" max="13" width="13.6640625" bestFit="1" customWidth="1"/>
  </cols>
  <sheetData>
    <row r="1" spans="1:14" x14ac:dyDescent="0.3">
      <c r="A1" s="729" t="s">
        <v>523</v>
      </c>
      <c r="B1" s="161" t="s">
        <v>524</v>
      </c>
      <c r="C1" s="161"/>
      <c r="D1" s="161"/>
      <c r="E1" s="161"/>
      <c r="F1" s="161"/>
      <c r="G1" s="161"/>
      <c r="H1" s="161"/>
      <c r="I1" s="161"/>
      <c r="J1" s="729" t="s">
        <v>528</v>
      </c>
      <c r="K1" s="163">
        <v>81</v>
      </c>
      <c r="L1" s="161"/>
      <c r="M1" s="729" t="s">
        <v>531</v>
      </c>
      <c r="N1" s="336">
        <f>E16+N20+I34+J42+I46</f>
        <v>59.448114613333331</v>
      </c>
    </row>
    <row r="2" spans="1:14" x14ac:dyDescent="0.3">
      <c r="A2" s="729" t="s">
        <v>532</v>
      </c>
      <c r="B2" s="161" t="s">
        <v>13</v>
      </c>
      <c r="C2" s="161"/>
      <c r="D2" s="161"/>
      <c r="E2" s="161"/>
      <c r="F2" s="161"/>
      <c r="G2" s="161"/>
      <c r="H2" s="161"/>
      <c r="I2" s="161"/>
      <c r="J2" s="161"/>
      <c r="K2" s="161"/>
      <c r="L2" s="161"/>
      <c r="M2" s="729" t="s">
        <v>533</v>
      </c>
      <c r="N2" s="165">
        <v>1</v>
      </c>
    </row>
    <row r="3" spans="1:14" x14ac:dyDescent="0.3">
      <c r="A3" s="729" t="s">
        <v>534</v>
      </c>
      <c r="B3" s="161" t="s">
        <v>2591</v>
      </c>
      <c r="C3" s="161"/>
      <c r="D3" s="161"/>
      <c r="E3" s="161"/>
      <c r="F3" s="161"/>
      <c r="G3" s="161"/>
      <c r="H3" s="161"/>
      <c r="I3" s="161"/>
      <c r="J3" s="729" t="s">
        <v>536</v>
      </c>
      <c r="K3" s="161"/>
      <c r="L3" s="161"/>
      <c r="M3" s="161"/>
      <c r="N3" s="161"/>
    </row>
    <row r="4" spans="1:14" x14ac:dyDescent="0.3">
      <c r="A4" s="729" t="s">
        <v>537</v>
      </c>
      <c r="B4" s="166" t="s">
        <v>399</v>
      </c>
      <c r="C4" s="161"/>
      <c r="D4" s="161"/>
      <c r="E4" s="161"/>
      <c r="F4" s="161"/>
      <c r="G4" s="161"/>
      <c r="H4" s="161"/>
      <c r="I4" s="161"/>
      <c r="J4" s="729" t="s">
        <v>538</v>
      </c>
      <c r="K4" s="161"/>
      <c r="L4" s="161"/>
      <c r="M4" s="729" t="s">
        <v>539</v>
      </c>
      <c r="N4" s="336">
        <f>N1*N2</f>
        <v>59.448114613333331</v>
      </c>
    </row>
    <row r="5" spans="1:14" x14ac:dyDescent="0.3">
      <c r="A5" s="729" t="s">
        <v>540</v>
      </c>
      <c r="B5" s="161" t="s">
        <v>36</v>
      </c>
      <c r="C5" s="161"/>
      <c r="D5" s="161"/>
      <c r="E5" s="161"/>
      <c r="F5" s="161"/>
      <c r="G5" s="161"/>
      <c r="H5" s="161"/>
      <c r="I5" s="161"/>
      <c r="J5" s="729" t="s">
        <v>541</v>
      </c>
      <c r="K5" s="161"/>
      <c r="L5" s="161"/>
      <c r="M5" s="161"/>
      <c r="N5" s="161"/>
    </row>
    <row r="6" spans="1:14" x14ac:dyDescent="0.3">
      <c r="A6" s="729" t="s">
        <v>542</v>
      </c>
      <c r="B6" s="161"/>
      <c r="C6" s="161"/>
      <c r="D6" s="161"/>
      <c r="E6" s="161"/>
      <c r="F6" s="161"/>
      <c r="G6" s="161"/>
      <c r="H6" s="161"/>
      <c r="I6" s="161"/>
      <c r="J6" s="161"/>
      <c r="K6" s="161"/>
      <c r="L6" s="161"/>
      <c r="M6" s="161"/>
      <c r="N6" s="161"/>
    </row>
    <row r="7" spans="1:14" x14ac:dyDescent="0.3">
      <c r="A7" s="161"/>
      <c r="B7" s="161"/>
      <c r="C7" s="161"/>
      <c r="D7" s="161"/>
      <c r="E7" s="161"/>
      <c r="F7" s="161"/>
      <c r="G7" s="161"/>
      <c r="H7" s="161"/>
      <c r="I7" s="161"/>
      <c r="J7" s="161"/>
      <c r="K7" s="161"/>
      <c r="L7" s="161"/>
      <c r="M7" s="161"/>
      <c r="N7" s="161"/>
    </row>
    <row r="8" spans="1:14" x14ac:dyDescent="0.3">
      <c r="A8" s="730" t="s">
        <v>544</v>
      </c>
      <c r="B8" s="730" t="s">
        <v>545</v>
      </c>
      <c r="C8" s="730" t="s">
        <v>546</v>
      </c>
      <c r="D8" s="730" t="s">
        <v>28</v>
      </c>
      <c r="E8" s="730" t="s">
        <v>547</v>
      </c>
      <c r="F8" s="161"/>
      <c r="G8" s="161"/>
      <c r="H8" s="161"/>
      <c r="I8" s="161"/>
      <c r="J8" s="161"/>
      <c r="K8" s="161"/>
      <c r="L8" s="161"/>
      <c r="M8" s="161"/>
      <c r="N8" s="161"/>
    </row>
    <row r="9" spans="1:14" x14ac:dyDescent="0.3">
      <c r="A9" s="168">
        <v>10</v>
      </c>
      <c r="B9" s="168" t="s">
        <v>402</v>
      </c>
      <c r="C9" s="322">
        <f>'ST 04001'!N1</f>
        <v>3.6159270000000001</v>
      </c>
      <c r="D9" s="168">
        <v>1</v>
      </c>
      <c r="E9" s="322">
        <f>C9*D9</f>
        <v>3.6159270000000001</v>
      </c>
      <c r="F9" s="161"/>
      <c r="G9" s="161"/>
      <c r="H9" s="161"/>
      <c r="I9" s="161"/>
      <c r="J9" s="161"/>
      <c r="K9" s="161"/>
      <c r="L9" s="161"/>
      <c r="M9" s="161"/>
      <c r="N9" s="161"/>
    </row>
    <row r="10" spans="1:14" x14ac:dyDescent="0.3">
      <c r="A10" s="168">
        <v>20</v>
      </c>
      <c r="B10" s="168" t="s">
        <v>2592</v>
      </c>
      <c r="C10" s="322">
        <f>'ST 04002'!N1</f>
        <v>10.3185</v>
      </c>
      <c r="D10" s="168">
        <v>1</v>
      </c>
      <c r="E10" s="322">
        <f t="shared" ref="E10:E15" si="0">C10*D10</f>
        <v>10.3185</v>
      </c>
      <c r="F10" s="161"/>
      <c r="G10" s="161"/>
      <c r="H10" s="161"/>
      <c r="I10" s="161"/>
      <c r="J10" s="161"/>
      <c r="K10" s="161"/>
      <c r="L10" s="161"/>
      <c r="M10" s="161"/>
      <c r="N10" s="161"/>
    </row>
    <row r="11" spans="1:14" x14ac:dyDescent="0.3">
      <c r="A11" s="168">
        <v>30</v>
      </c>
      <c r="B11" s="168" t="s">
        <v>2593</v>
      </c>
      <c r="C11" s="322">
        <f>'ST 04003'!N1</f>
        <v>11.846666666666668</v>
      </c>
      <c r="D11" s="168">
        <v>1</v>
      </c>
      <c r="E11" s="322">
        <f t="shared" si="0"/>
        <v>11.846666666666668</v>
      </c>
      <c r="F11" s="161"/>
      <c r="G11" s="161"/>
      <c r="H11" s="161"/>
      <c r="I11" s="161"/>
      <c r="J11" s="161"/>
      <c r="K11" s="161"/>
      <c r="L11" s="161"/>
      <c r="M11" s="161"/>
      <c r="N11" s="161"/>
    </row>
    <row r="12" spans="1:14" x14ac:dyDescent="0.3">
      <c r="A12" s="168">
        <v>40</v>
      </c>
      <c r="B12" s="168" t="s">
        <v>2594</v>
      </c>
      <c r="C12" s="322">
        <f>'ST 04004'!N1</f>
        <v>4.0850165000000001</v>
      </c>
      <c r="D12" s="168">
        <v>2</v>
      </c>
      <c r="E12" s="322">
        <f t="shared" si="0"/>
        <v>8.1700330000000001</v>
      </c>
      <c r="F12" s="161"/>
      <c r="G12" s="161"/>
      <c r="H12" s="161"/>
      <c r="I12" s="161"/>
      <c r="J12" s="161"/>
      <c r="K12" s="161"/>
      <c r="L12" s="161"/>
      <c r="M12" s="161"/>
      <c r="N12" s="161"/>
    </row>
    <row r="13" spans="1:14" x14ac:dyDescent="0.3">
      <c r="A13" s="168">
        <v>50</v>
      </c>
      <c r="B13" s="168" t="s">
        <v>2595</v>
      </c>
      <c r="C13" s="322">
        <f>'ST 04005'!N1</f>
        <v>2.4324530400000004</v>
      </c>
      <c r="D13" s="168">
        <v>2</v>
      </c>
      <c r="E13" s="322">
        <f t="shared" si="0"/>
        <v>4.8649060800000008</v>
      </c>
      <c r="F13" s="161"/>
      <c r="G13" s="161"/>
      <c r="H13" s="161"/>
      <c r="I13" s="161"/>
      <c r="J13" s="161"/>
      <c r="K13" s="161"/>
      <c r="L13" s="161"/>
      <c r="M13" s="161"/>
      <c r="N13" s="161"/>
    </row>
    <row r="14" spans="1:14" x14ac:dyDescent="0.3">
      <c r="A14" s="168">
        <v>60</v>
      </c>
      <c r="B14" s="168" t="s">
        <v>2596</v>
      </c>
      <c r="C14" s="322">
        <f>'ST 04006'!N1</f>
        <v>2.1864576000000002</v>
      </c>
      <c r="D14" s="168">
        <v>2</v>
      </c>
      <c r="E14" s="322">
        <f t="shared" si="0"/>
        <v>4.3729152000000004</v>
      </c>
      <c r="F14" s="161"/>
      <c r="G14" s="161"/>
      <c r="H14" s="161"/>
      <c r="I14" s="161"/>
      <c r="J14" s="161"/>
      <c r="K14" s="161"/>
      <c r="L14" s="161"/>
      <c r="M14" s="161"/>
      <c r="N14" s="161"/>
    </row>
    <row r="15" spans="1:14" x14ac:dyDescent="0.3">
      <c r="A15" s="168">
        <v>70</v>
      </c>
      <c r="B15" s="168" t="s">
        <v>2597</v>
      </c>
      <c r="C15" s="322">
        <f>'ST 04007'!N1</f>
        <v>6.61</v>
      </c>
      <c r="D15" s="168">
        <v>1</v>
      </c>
      <c r="E15" s="322">
        <f t="shared" si="0"/>
        <v>6.61</v>
      </c>
      <c r="F15" s="161"/>
      <c r="G15" s="161"/>
      <c r="H15" s="161"/>
      <c r="I15" s="161"/>
      <c r="J15" s="161"/>
      <c r="K15" s="161"/>
      <c r="L15" s="161"/>
      <c r="M15" s="161"/>
      <c r="N15" s="161"/>
    </row>
    <row r="16" spans="1:14" x14ac:dyDescent="0.3">
      <c r="A16" s="161"/>
      <c r="B16" s="161"/>
      <c r="C16" s="161"/>
      <c r="D16" s="779" t="s">
        <v>547</v>
      </c>
      <c r="E16" s="739">
        <f>SUM(E9:E15)</f>
        <v>49.798947946666665</v>
      </c>
      <c r="F16" s="161"/>
      <c r="G16" s="161"/>
      <c r="H16" s="161"/>
      <c r="I16" s="161"/>
      <c r="J16" s="161"/>
      <c r="K16" s="161"/>
      <c r="L16" s="161"/>
      <c r="M16" s="161"/>
      <c r="N16" s="161"/>
    </row>
    <row r="17" spans="1:14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  <c r="L17" s="161"/>
      <c r="M17" s="161"/>
      <c r="N17" s="161"/>
    </row>
    <row r="18" spans="1:14" x14ac:dyDescent="0.3">
      <c r="A18" s="730" t="s">
        <v>544</v>
      </c>
      <c r="B18" s="730" t="s">
        <v>581</v>
      </c>
      <c r="C18" s="730" t="s">
        <v>549</v>
      </c>
      <c r="D18" s="730" t="s">
        <v>550</v>
      </c>
      <c r="E18" s="730" t="s">
        <v>567</v>
      </c>
      <c r="F18" s="730" t="s">
        <v>568</v>
      </c>
      <c r="G18" s="730" t="s">
        <v>569</v>
      </c>
      <c r="H18" s="730" t="s">
        <v>570</v>
      </c>
      <c r="I18" s="730" t="s">
        <v>582</v>
      </c>
      <c r="J18" s="730" t="s">
        <v>583</v>
      </c>
      <c r="K18" s="730" t="s">
        <v>584</v>
      </c>
      <c r="L18" s="730" t="s">
        <v>585</v>
      </c>
      <c r="M18" s="730" t="s">
        <v>28</v>
      </c>
      <c r="N18" s="730" t="s">
        <v>547</v>
      </c>
    </row>
    <row r="19" spans="1:14" x14ac:dyDescent="0.3">
      <c r="A19" s="183">
        <v>10</v>
      </c>
      <c r="B19" s="746" t="s">
        <v>2598</v>
      </c>
      <c r="C19" s="746" t="s">
        <v>2599</v>
      </c>
      <c r="D19" s="385">
        <v>0.5</v>
      </c>
      <c r="E19" s="746" t="s">
        <v>556</v>
      </c>
      <c r="F19" s="746"/>
      <c r="G19" s="183"/>
      <c r="H19" s="204"/>
      <c r="I19" s="205"/>
      <c r="J19" s="430"/>
      <c r="K19" s="204"/>
      <c r="L19" s="204"/>
      <c r="M19" s="431">
        <v>1</v>
      </c>
      <c r="N19" s="385">
        <f>D19</f>
        <v>0.5</v>
      </c>
    </row>
    <row r="20" spans="1:14" x14ac:dyDescent="0.3">
      <c r="A20" s="178"/>
      <c r="B20" s="178"/>
      <c r="C20" s="178"/>
      <c r="D20" s="807"/>
      <c r="E20" s="178"/>
      <c r="F20" s="178"/>
      <c r="G20" s="178"/>
      <c r="H20" s="178"/>
      <c r="I20" s="178"/>
      <c r="J20" s="178"/>
      <c r="K20" s="178"/>
      <c r="L20" s="178"/>
      <c r="M20" s="731" t="s">
        <v>547</v>
      </c>
      <c r="N20" s="732">
        <f>N19</f>
        <v>0.5</v>
      </c>
    </row>
    <row r="21" spans="1:14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2" spans="1:14" x14ac:dyDescent="0.3">
      <c r="A22" s="730" t="s">
        <v>544</v>
      </c>
      <c r="B22" s="730" t="s">
        <v>548</v>
      </c>
      <c r="C22" s="730" t="s">
        <v>549</v>
      </c>
      <c r="D22" s="730" t="s">
        <v>550</v>
      </c>
      <c r="E22" s="730" t="s">
        <v>551</v>
      </c>
      <c r="F22" s="730" t="s">
        <v>28</v>
      </c>
      <c r="G22" s="730" t="s">
        <v>552</v>
      </c>
      <c r="H22" s="730" t="s">
        <v>553</v>
      </c>
      <c r="I22" s="730" t="s">
        <v>547</v>
      </c>
      <c r="J22" s="178"/>
      <c r="K22" s="178"/>
      <c r="L22" s="178"/>
      <c r="M22" s="178"/>
      <c r="N22" s="178"/>
    </row>
    <row r="23" spans="1:14" x14ac:dyDescent="0.3">
      <c r="A23" s="184">
        <v>10</v>
      </c>
      <c r="B23" s="180" t="s">
        <v>650</v>
      </c>
      <c r="C23" s="184" t="s">
        <v>2600</v>
      </c>
      <c r="D23" s="281">
        <v>0.15</v>
      </c>
      <c r="E23" s="184" t="s">
        <v>593</v>
      </c>
      <c r="F23" s="184">
        <v>7.5</v>
      </c>
      <c r="G23" s="184"/>
      <c r="H23" s="184"/>
      <c r="I23" s="195">
        <f t="shared" ref="I23:I32" si="1">D23*F23</f>
        <v>1.125</v>
      </c>
      <c r="J23" s="161"/>
      <c r="K23" s="161"/>
      <c r="L23" s="161"/>
      <c r="M23" s="161"/>
      <c r="N23" s="161"/>
    </row>
    <row r="24" spans="1:14" ht="28.8" x14ac:dyDescent="0.3">
      <c r="A24" s="184">
        <v>20</v>
      </c>
      <c r="B24" s="180" t="s">
        <v>749</v>
      </c>
      <c r="C24" s="281" t="s">
        <v>2601</v>
      </c>
      <c r="D24" s="281">
        <v>0.125</v>
      </c>
      <c r="E24" s="180" t="s">
        <v>556</v>
      </c>
      <c r="F24" s="184">
        <v>1</v>
      </c>
      <c r="G24" s="184"/>
      <c r="H24" s="184"/>
      <c r="I24" s="195">
        <f t="shared" si="1"/>
        <v>0.125</v>
      </c>
      <c r="J24" s="161"/>
      <c r="K24" s="161"/>
      <c r="L24" s="161"/>
      <c r="M24" s="161"/>
      <c r="N24" s="161"/>
    </row>
    <row r="25" spans="1:14" ht="57.6" x14ac:dyDescent="0.3">
      <c r="A25" s="184">
        <v>30</v>
      </c>
      <c r="B25" s="180" t="s">
        <v>749</v>
      </c>
      <c r="C25" s="281" t="s">
        <v>2602</v>
      </c>
      <c r="D25" s="281">
        <v>0.125</v>
      </c>
      <c r="E25" s="180" t="s">
        <v>556</v>
      </c>
      <c r="F25" s="184">
        <v>1</v>
      </c>
      <c r="G25" s="184"/>
      <c r="H25" s="184"/>
      <c r="I25" s="195">
        <f t="shared" si="1"/>
        <v>0.125</v>
      </c>
      <c r="J25" s="161"/>
      <c r="K25" s="161"/>
      <c r="L25" s="161"/>
      <c r="M25" s="161"/>
      <c r="N25" s="161"/>
    </row>
    <row r="26" spans="1:14" ht="28.8" x14ac:dyDescent="0.3">
      <c r="A26" s="184">
        <v>40</v>
      </c>
      <c r="B26" s="180" t="s">
        <v>749</v>
      </c>
      <c r="C26" s="281" t="s">
        <v>2603</v>
      </c>
      <c r="D26" s="281">
        <v>0.125</v>
      </c>
      <c r="E26" s="180" t="s">
        <v>556</v>
      </c>
      <c r="F26" s="184">
        <v>2</v>
      </c>
      <c r="G26" s="184"/>
      <c r="H26" s="184"/>
      <c r="I26" s="195">
        <f t="shared" si="1"/>
        <v>0.25</v>
      </c>
      <c r="J26" s="161"/>
      <c r="K26" s="161"/>
      <c r="L26" s="161"/>
      <c r="M26" s="161"/>
      <c r="N26" s="161"/>
    </row>
    <row r="27" spans="1:14" ht="28.8" x14ac:dyDescent="0.3">
      <c r="A27" s="184">
        <v>50</v>
      </c>
      <c r="B27" s="180" t="s">
        <v>659</v>
      </c>
      <c r="C27" s="281" t="s">
        <v>2604</v>
      </c>
      <c r="D27" s="281">
        <v>0.5</v>
      </c>
      <c r="E27" s="180" t="s">
        <v>556</v>
      </c>
      <c r="F27" s="184">
        <v>2</v>
      </c>
      <c r="G27" s="184"/>
      <c r="H27" s="184"/>
      <c r="I27" s="195">
        <f t="shared" si="1"/>
        <v>1</v>
      </c>
      <c r="J27" s="161"/>
      <c r="K27" s="161"/>
      <c r="L27" s="161"/>
      <c r="M27" s="161"/>
      <c r="N27" s="161"/>
    </row>
    <row r="28" spans="1:14" ht="28.8" x14ac:dyDescent="0.3">
      <c r="A28" s="184">
        <v>60</v>
      </c>
      <c r="B28" s="180" t="s">
        <v>660</v>
      </c>
      <c r="C28" s="281" t="s">
        <v>2486</v>
      </c>
      <c r="D28" s="281">
        <v>0.25</v>
      </c>
      <c r="E28" s="180" t="s">
        <v>556</v>
      </c>
      <c r="F28" s="184">
        <v>2</v>
      </c>
      <c r="G28" s="184"/>
      <c r="H28" s="184"/>
      <c r="I28" s="195">
        <f t="shared" si="1"/>
        <v>0.5</v>
      </c>
      <c r="J28" s="161"/>
      <c r="K28" s="161"/>
      <c r="L28" s="161"/>
      <c r="M28" s="161"/>
      <c r="N28" s="161"/>
    </row>
    <row r="29" spans="1:14" ht="28.8" x14ac:dyDescent="0.3">
      <c r="A29" s="184">
        <v>70</v>
      </c>
      <c r="B29" s="180" t="s">
        <v>760</v>
      </c>
      <c r="C29" s="193" t="s">
        <v>2605</v>
      </c>
      <c r="D29" s="281">
        <v>0.1875</v>
      </c>
      <c r="E29" s="180" t="s">
        <v>556</v>
      </c>
      <c r="F29" s="184">
        <v>1</v>
      </c>
      <c r="G29" s="184"/>
      <c r="H29" s="184"/>
      <c r="I29" s="195">
        <f t="shared" si="1"/>
        <v>0.1875</v>
      </c>
      <c r="J29" s="161"/>
      <c r="K29" s="161"/>
      <c r="L29" s="161"/>
      <c r="M29" s="161"/>
      <c r="N29" s="161"/>
    </row>
    <row r="30" spans="1:14" ht="28.8" x14ac:dyDescent="0.3">
      <c r="A30" s="184">
        <v>80</v>
      </c>
      <c r="B30" s="180" t="s">
        <v>749</v>
      </c>
      <c r="C30" s="281" t="s">
        <v>2606</v>
      </c>
      <c r="D30" s="281">
        <v>0.125</v>
      </c>
      <c r="E30" s="180" t="s">
        <v>556</v>
      </c>
      <c r="F30" s="184">
        <v>2</v>
      </c>
      <c r="G30" s="184"/>
      <c r="H30" s="184"/>
      <c r="I30" s="195">
        <f t="shared" si="1"/>
        <v>0.25</v>
      </c>
      <c r="J30" s="161"/>
      <c r="K30" s="161"/>
      <c r="L30" s="161"/>
      <c r="M30" s="161"/>
      <c r="N30" s="161"/>
    </row>
    <row r="31" spans="1:14" ht="28.8" x14ac:dyDescent="0.3">
      <c r="A31" s="184">
        <v>90</v>
      </c>
      <c r="B31" s="180" t="s">
        <v>659</v>
      </c>
      <c r="C31" s="281" t="s">
        <v>2607</v>
      </c>
      <c r="D31" s="281">
        <v>0.5</v>
      </c>
      <c r="E31" s="180" t="s">
        <v>556</v>
      </c>
      <c r="F31" s="184">
        <v>2</v>
      </c>
      <c r="G31" s="184"/>
      <c r="H31" s="184"/>
      <c r="I31" s="195">
        <f t="shared" si="1"/>
        <v>1</v>
      </c>
      <c r="J31" s="161"/>
      <c r="K31" s="161"/>
      <c r="L31" s="161"/>
      <c r="M31" s="161"/>
      <c r="N31" s="161"/>
    </row>
    <row r="32" spans="1:14" s="211" customFormat="1" x14ac:dyDescent="0.3">
      <c r="A32" s="183">
        <v>100</v>
      </c>
      <c r="B32" s="285" t="s">
        <v>660</v>
      </c>
      <c r="C32" s="828" t="s">
        <v>2486</v>
      </c>
      <c r="D32" s="829">
        <v>0.25</v>
      </c>
      <c r="E32" s="285" t="s">
        <v>556</v>
      </c>
      <c r="F32" s="183">
        <v>2</v>
      </c>
      <c r="G32" s="183"/>
      <c r="H32" s="183"/>
      <c r="I32" s="830">
        <f t="shared" si="1"/>
        <v>0.5</v>
      </c>
      <c r="J32" s="831"/>
      <c r="K32" s="311"/>
      <c r="L32" s="311"/>
      <c r="M32" s="311"/>
      <c r="N32" s="311"/>
    </row>
    <row r="33" spans="1:14" x14ac:dyDescent="0.3">
      <c r="A33" s="184">
        <v>110</v>
      </c>
      <c r="B33" s="180" t="s">
        <v>559</v>
      </c>
      <c r="C33" s="827" t="s">
        <v>2638</v>
      </c>
      <c r="D33" s="281">
        <v>0.75</v>
      </c>
      <c r="E33" s="180" t="s">
        <v>556</v>
      </c>
      <c r="F33" s="184">
        <v>2</v>
      </c>
      <c r="G33" s="184"/>
      <c r="H33" s="184"/>
      <c r="I33" s="195">
        <f>D33*F33</f>
        <v>1.5</v>
      </c>
      <c r="J33" s="161"/>
      <c r="K33" s="161"/>
      <c r="L33" s="161"/>
      <c r="M33" s="161"/>
      <c r="N33" s="161"/>
    </row>
    <row r="34" spans="1:14" x14ac:dyDescent="0.3">
      <c r="A34" s="178"/>
      <c r="B34" s="178"/>
      <c r="C34" s="178"/>
      <c r="D34" s="178"/>
      <c r="E34" s="178"/>
      <c r="F34" s="178"/>
      <c r="G34" s="178"/>
      <c r="H34" s="731" t="s">
        <v>547</v>
      </c>
      <c r="I34" s="781">
        <f>SUM(I23:I33)</f>
        <v>6.5625</v>
      </c>
      <c r="J34" s="782"/>
      <c r="K34" s="178"/>
      <c r="L34" s="178"/>
      <c r="M34" s="178"/>
      <c r="N34" s="178"/>
    </row>
    <row r="35" spans="1:14" x14ac:dyDescent="0.3">
      <c r="A35" s="161"/>
      <c r="B35" s="161"/>
      <c r="C35" s="161"/>
      <c r="D35" s="161"/>
      <c r="E35" s="161"/>
      <c r="F35" s="161"/>
      <c r="G35" s="161"/>
      <c r="H35" s="161"/>
      <c r="I35" s="161"/>
      <c r="J35" s="161"/>
      <c r="K35" s="161"/>
      <c r="L35" s="161"/>
      <c r="M35" s="161"/>
      <c r="N35" s="161"/>
    </row>
    <row r="36" spans="1:14" x14ac:dyDescent="0.3">
      <c r="A36" s="730" t="s">
        <v>544</v>
      </c>
      <c r="B36" s="730" t="s">
        <v>566</v>
      </c>
      <c r="C36" s="730" t="s">
        <v>549</v>
      </c>
      <c r="D36" s="730" t="s">
        <v>550</v>
      </c>
      <c r="E36" s="730" t="s">
        <v>567</v>
      </c>
      <c r="F36" s="730" t="s">
        <v>568</v>
      </c>
      <c r="G36" s="730" t="s">
        <v>569</v>
      </c>
      <c r="H36" s="730" t="s">
        <v>570</v>
      </c>
      <c r="I36" s="730" t="s">
        <v>28</v>
      </c>
      <c r="J36" s="730" t="s">
        <v>547</v>
      </c>
      <c r="K36" s="178"/>
      <c r="L36" s="178"/>
      <c r="M36" s="178"/>
      <c r="N36" s="178"/>
    </row>
    <row r="37" spans="1:14" x14ac:dyDescent="0.3">
      <c r="A37" s="184">
        <v>10</v>
      </c>
      <c r="B37" s="190" t="s">
        <v>684</v>
      </c>
      <c r="C37" s="184" t="s">
        <v>2608</v>
      </c>
      <c r="D37" s="808">
        <v>0.09</v>
      </c>
      <c r="E37" s="190">
        <v>6</v>
      </c>
      <c r="F37" s="190" t="s">
        <v>573</v>
      </c>
      <c r="G37" s="190">
        <v>40</v>
      </c>
      <c r="H37" s="190" t="s">
        <v>573</v>
      </c>
      <c r="I37" s="184">
        <v>4</v>
      </c>
      <c r="J37" s="809">
        <f>D37*I37</f>
        <v>0.36</v>
      </c>
      <c r="K37" s="161"/>
      <c r="L37" s="161"/>
      <c r="M37" s="161"/>
      <c r="N37" s="161"/>
    </row>
    <row r="38" spans="1:14" x14ac:dyDescent="0.3">
      <c r="A38" s="184">
        <v>20</v>
      </c>
      <c r="B38" s="810" t="s">
        <v>618</v>
      </c>
      <c r="C38" s="184" t="s">
        <v>2498</v>
      </c>
      <c r="D38" s="809">
        <v>0.03</v>
      </c>
      <c r="E38" s="184">
        <v>6</v>
      </c>
      <c r="F38" s="184" t="s">
        <v>573</v>
      </c>
      <c r="G38" s="184"/>
      <c r="H38" s="184"/>
      <c r="I38" s="184">
        <v>4</v>
      </c>
      <c r="J38" s="809">
        <f>D38*I38</f>
        <v>0.12</v>
      </c>
      <c r="K38" s="161"/>
      <c r="L38" s="161"/>
      <c r="M38" s="161"/>
      <c r="N38" s="161"/>
    </row>
    <row r="39" spans="1:14" ht="28.8" x14ac:dyDescent="0.3">
      <c r="A39" s="184">
        <v>30</v>
      </c>
      <c r="B39" s="439" t="s">
        <v>574</v>
      </c>
      <c r="C39" s="184" t="s">
        <v>2499</v>
      </c>
      <c r="D39" s="808">
        <v>0.01</v>
      </c>
      <c r="E39" s="184"/>
      <c r="F39" s="606"/>
      <c r="G39" s="184"/>
      <c r="H39" s="193"/>
      <c r="I39" s="184">
        <v>8</v>
      </c>
      <c r="J39" s="809">
        <f>D39*I39</f>
        <v>0.08</v>
      </c>
      <c r="K39" s="161"/>
      <c r="L39" s="161"/>
      <c r="M39" s="161"/>
      <c r="N39" s="161"/>
    </row>
    <row r="40" spans="1:14" x14ac:dyDescent="0.3">
      <c r="A40" s="184">
        <v>40</v>
      </c>
      <c r="B40" s="190" t="s">
        <v>684</v>
      </c>
      <c r="C40" s="184" t="s">
        <v>2637</v>
      </c>
      <c r="D40" s="808">
        <v>0.53</v>
      </c>
      <c r="E40" s="190">
        <v>12</v>
      </c>
      <c r="F40" s="190" t="s">
        <v>573</v>
      </c>
      <c r="G40" s="190">
        <v>50</v>
      </c>
      <c r="H40" s="190" t="s">
        <v>573</v>
      </c>
      <c r="I40" s="184">
        <v>2</v>
      </c>
      <c r="J40" s="809">
        <f>D40*I40</f>
        <v>1.06</v>
      </c>
      <c r="K40" s="161"/>
      <c r="L40" s="161"/>
      <c r="M40" s="161"/>
      <c r="N40" s="161"/>
    </row>
    <row r="41" spans="1:14" x14ac:dyDescent="0.3">
      <c r="A41" s="184">
        <v>50</v>
      </c>
      <c r="B41" s="190" t="s">
        <v>2562</v>
      </c>
      <c r="C41" s="184" t="s">
        <v>2609</v>
      </c>
      <c r="D41" s="808">
        <v>0.3</v>
      </c>
      <c r="E41" s="811">
        <v>40</v>
      </c>
      <c r="F41" s="190" t="s">
        <v>573</v>
      </c>
      <c r="G41" s="184"/>
      <c r="H41" s="193"/>
      <c r="I41" s="607">
        <v>1</v>
      </c>
      <c r="J41" s="362">
        <f>D41*I41</f>
        <v>0.3</v>
      </c>
      <c r="K41" s="161"/>
      <c r="L41" s="161"/>
      <c r="M41" s="161"/>
      <c r="N41" s="161"/>
    </row>
    <row r="42" spans="1:14" x14ac:dyDescent="0.3">
      <c r="A42" s="178"/>
      <c r="B42" s="178"/>
      <c r="C42" s="178"/>
      <c r="D42" s="178"/>
      <c r="E42" s="178"/>
      <c r="F42" s="178"/>
      <c r="G42" s="178"/>
      <c r="H42" s="178"/>
      <c r="I42" s="731" t="s">
        <v>547</v>
      </c>
      <c r="J42" s="732">
        <f>SUM(J37:J41)</f>
        <v>1.9200000000000002</v>
      </c>
      <c r="K42" s="178"/>
      <c r="L42" s="178"/>
      <c r="M42" s="178"/>
      <c r="N42" s="178"/>
    </row>
    <row r="43" spans="1:14" x14ac:dyDescent="0.3">
      <c r="A43" s="161"/>
      <c r="B43" s="161"/>
      <c r="C43" s="161"/>
      <c r="D43" s="161"/>
      <c r="E43" s="161"/>
      <c r="F43" s="161"/>
      <c r="G43" s="161"/>
      <c r="H43" s="326"/>
      <c r="I43" s="325"/>
      <c r="J43" s="161"/>
      <c r="K43" s="161"/>
      <c r="L43" s="161"/>
      <c r="M43" s="161"/>
      <c r="N43" s="161"/>
    </row>
    <row r="44" spans="1:14" x14ac:dyDescent="0.3">
      <c r="A44" s="730" t="s">
        <v>544</v>
      </c>
      <c r="B44" s="730" t="s">
        <v>6</v>
      </c>
      <c r="C44" s="730" t="s">
        <v>549</v>
      </c>
      <c r="D44" s="730" t="s">
        <v>550</v>
      </c>
      <c r="E44" s="730" t="s">
        <v>551</v>
      </c>
      <c r="F44" s="730" t="s">
        <v>28</v>
      </c>
      <c r="G44" s="730" t="s">
        <v>691</v>
      </c>
      <c r="H44" s="730" t="s">
        <v>736</v>
      </c>
      <c r="I44" s="730" t="s">
        <v>547</v>
      </c>
      <c r="J44" s="178"/>
      <c r="K44" s="178"/>
      <c r="L44" s="178"/>
      <c r="M44" s="178"/>
      <c r="N44" s="178"/>
    </row>
    <row r="45" spans="1:14" ht="28.8" x14ac:dyDescent="0.3">
      <c r="A45" s="168">
        <v>10</v>
      </c>
      <c r="B45" s="184" t="s">
        <v>1767</v>
      </c>
      <c r="C45" s="184" t="s">
        <v>2610</v>
      </c>
      <c r="D45" s="170">
        <v>500</v>
      </c>
      <c r="E45" s="168" t="s">
        <v>695</v>
      </c>
      <c r="F45" s="168">
        <v>4</v>
      </c>
      <c r="G45" s="168">
        <v>3000</v>
      </c>
      <c r="H45" s="168">
        <v>1</v>
      </c>
      <c r="I45" s="812">
        <f>D45*F45/G45*H45</f>
        <v>0.66666666666666663</v>
      </c>
      <c r="J45" s="813"/>
      <c r="K45" s="161"/>
      <c r="L45" s="161"/>
      <c r="M45" s="161"/>
      <c r="N45" s="161"/>
    </row>
    <row r="46" spans="1:14" x14ac:dyDescent="0.3">
      <c r="A46" s="178"/>
      <c r="B46" s="178"/>
      <c r="C46" s="178"/>
      <c r="D46" s="178"/>
      <c r="E46" s="178"/>
      <c r="F46" s="178"/>
      <c r="G46" s="178"/>
      <c r="H46" s="779" t="s">
        <v>547</v>
      </c>
      <c r="I46" s="814">
        <v>0.66666666666666663</v>
      </c>
      <c r="J46" s="178"/>
      <c r="K46" s="178"/>
      <c r="L46" s="178"/>
      <c r="M46" s="178"/>
      <c r="N46" s="178"/>
    </row>
  </sheetData>
  <pageMargins left="0.78740157499999996" right="0.78740157499999996" top="0.984251969" bottom="0.984251969" header="0.5" footer="0.5"/>
  <pageSetup paperSize="9" scale="65" fitToHeight="0" orientation="landscape" horizontalDpi="4294967292" verticalDpi="4294967292"/>
  <headerFooter alignWithMargins="0"/>
</worksheet>
</file>

<file path=xl/worksheets/sheet2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N53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3.4414062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3.77734375" style="161" bestFit="1" customWidth="1"/>
    <col min="9" max="9" width="13.109375" style="16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4" x14ac:dyDescent="0.3">
      <c r="A1" s="747" t="s">
        <v>523</v>
      </c>
      <c r="B1" s="161" t="s">
        <v>524</v>
      </c>
      <c r="J1" s="748" t="s">
        <v>528</v>
      </c>
      <c r="K1" s="163">
        <v>81</v>
      </c>
      <c r="M1" s="747" t="s">
        <v>546</v>
      </c>
      <c r="N1" s="336">
        <f>N11+I16</f>
        <v>3.6159270000000001</v>
      </c>
    </row>
    <row r="2" spans="1:14" x14ac:dyDescent="0.3">
      <c r="A2" s="747" t="s">
        <v>532</v>
      </c>
      <c r="B2" s="161" t="s">
        <v>13</v>
      </c>
      <c r="D2" s="747" t="s">
        <v>536</v>
      </c>
      <c r="M2" s="747" t="s">
        <v>533</v>
      </c>
      <c r="N2" s="165">
        <v>1</v>
      </c>
    </row>
    <row r="3" spans="1:14" x14ac:dyDescent="0.3">
      <c r="A3" s="747" t="s">
        <v>534</v>
      </c>
      <c r="B3" s="161" t="s">
        <v>2591</v>
      </c>
      <c r="D3" s="747" t="s">
        <v>538</v>
      </c>
      <c r="J3" s="747" t="s">
        <v>536</v>
      </c>
    </row>
    <row r="4" spans="1:14" x14ac:dyDescent="0.3">
      <c r="A4" s="747" t="s">
        <v>545</v>
      </c>
      <c r="B4" s="166" t="s">
        <v>402</v>
      </c>
      <c r="D4" s="747" t="s">
        <v>541</v>
      </c>
      <c r="J4" s="747" t="s">
        <v>538</v>
      </c>
      <c r="M4" s="747" t="s">
        <v>539</v>
      </c>
      <c r="N4" s="336">
        <f>N1*N2</f>
        <v>3.6159270000000001</v>
      </c>
    </row>
    <row r="5" spans="1:14" x14ac:dyDescent="0.3">
      <c r="A5" s="747" t="s">
        <v>537</v>
      </c>
      <c r="B5" s="166" t="s">
        <v>401</v>
      </c>
      <c r="J5" s="747" t="s">
        <v>541</v>
      </c>
    </row>
    <row r="6" spans="1:14" x14ac:dyDescent="0.3">
      <c r="A6" s="747" t="s">
        <v>540</v>
      </c>
      <c r="B6" s="161" t="s">
        <v>36</v>
      </c>
    </row>
    <row r="7" spans="1:14" x14ac:dyDescent="0.3">
      <c r="A7" s="747" t="s">
        <v>542</v>
      </c>
      <c r="B7" s="161" t="s">
        <v>1117</v>
      </c>
    </row>
    <row r="9" spans="1:14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</row>
    <row r="10" spans="1:14" ht="28.8" x14ac:dyDescent="0.3">
      <c r="A10" s="168">
        <v>10</v>
      </c>
      <c r="B10" s="168" t="s">
        <v>596</v>
      </c>
      <c r="C10" s="168" t="s">
        <v>2611</v>
      </c>
      <c r="D10" s="302">
        <v>2.25</v>
      </c>
      <c r="E10" s="168">
        <v>10</v>
      </c>
      <c r="F10" s="168" t="s">
        <v>573</v>
      </c>
      <c r="G10" s="168"/>
      <c r="H10" s="219"/>
      <c r="I10" s="269" t="s">
        <v>2612</v>
      </c>
      <c r="J10" s="227">
        <v>3.1399999999999999E-4</v>
      </c>
      <c r="K10" s="610">
        <v>0.3</v>
      </c>
      <c r="L10" s="219">
        <v>7860</v>
      </c>
      <c r="M10" s="222">
        <v>1</v>
      </c>
      <c r="N10" s="322">
        <f>IF(J10="",D10*M10,D10*J10*K10*L10*M10)</f>
        <v>1.6659269999999999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0" t="s">
        <v>547</v>
      </c>
      <c r="N11" s="751">
        <f>SUM(N10:N10)</f>
        <v>1.6659269999999999</v>
      </c>
    </row>
    <row r="13" spans="1:14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</row>
    <row r="14" spans="1:14" x14ac:dyDescent="0.3">
      <c r="A14" s="168">
        <v>10</v>
      </c>
      <c r="B14" s="788" t="s">
        <v>1612</v>
      </c>
      <c r="C14" s="171" t="s">
        <v>2613</v>
      </c>
      <c r="D14" s="243">
        <v>0.35</v>
      </c>
      <c r="E14" s="168" t="s">
        <v>843</v>
      </c>
      <c r="F14" s="168">
        <v>2</v>
      </c>
      <c r="G14" s="168"/>
      <c r="H14" s="168">
        <v>1</v>
      </c>
      <c r="I14" s="323">
        <f>D14*F14</f>
        <v>0.7</v>
      </c>
    </row>
    <row r="15" spans="1:14" x14ac:dyDescent="0.3">
      <c r="A15" s="168">
        <v>20</v>
      </c>
      <c r="B15" s="180" t="s">
        <v>1256</v>
      </c>
      <c r="C15" s="234" t="s">
        <v>2614</v>
      </c>
      <c r="D15" s="239">
        <v>0.5</v>
      </c>
      <c r="E15" s="234" t="s">
        <v>593</v>
      </c>
      <c r="F15" s="232">
        <v>2.5</v>
      </c>
      <c r="G15" s="168"/>
      <c r="H15" s="168"/>
      <c r="I15" s="323">
        <f>D15*F15</f>
        <v>1.25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752" t="s">
        <v>547</v>
      </c>
      <c r="I16" s="753">
        <f>SUM(I14:I15)</f>
        <v>1.95</v>
      </c>
      <c r="J16" s="178"/>
      <c r="K16" s="178"/>
      <c r="L16" s="178"/>
      <c r="M16" s="178"/>
      <c r="N16" s="178"/>
    </row>
    <row r="26" s="178" customFormat="1" x14ac:dyDescent="0.3"/>
    <row r="28" s="178" customFormat="1" x14ac:dyDescent="0.3"/>
    <row r="37" s="178" customFormat="1" x14ac:dyDescent="0.3"/>
    <row r="39" s="178" customFormat="1" x14ac:dyDescent="0.3"/>
    <row r="48" s="178" customFormat="1" x14ac:dyDescent="0.3"/>
    <row r="50" s="178" customFormat="1" x14ac:dyDescent="0.3"/>
    <row r="53" s="178" customFormat="1" x14ac:dyDescent="0.3"/>
  </sheetData>
  <pageMargins left="0.5" right="0.5" top="0.75" bottom="0.75" header="0.3" footer="0.3"/>
  <pageSetup paperSize="9" scale="73" orientation="landscape"/>
  <headerFooter alignWithMargins="0"/>
</worksheet>
</file>

<file path=xl/worksheets/sheet2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P27"/>
  <sheetViews>
    <sheetView showGridLines="0" workbookViewId="0"/>
  </sheetViews>
  <sheetFormatPr defaultColWidth="11.5546875" defaultRowHeight="14.4" x14ac:dyDescent="0.3"/>
  <cols>
    <col min="2" max="2" width="23.44140625" customWidth="1"/>
    <col min="3" max="3" width="25.109375" customWidth="1"/>
    <col min="9" max="9" width="12.6640625" bestFit="1" customWidth="1"/>
    <col min="13" max="13" width="13.6640625" bestFit="1" customWidth="1"/>
  </cols>
  <sheetData>
    <row r="1" spans="1:14" x14ac:dyDescent="0.3">
      <c r="A1" s="747" t="s">
        <v>523</v>
      </c>
      <c r="B1" s="161" t="s">
        <v>524</v>
      </c>
      <c r="C1" s="161"/>
      <c r="D1" s="161"/>
      <c r="E1" s="161"/>
      <c r="F1" s="161"/>
      <c r="G1" s="161"/>
      <c r="H1" s="161"/>
      <c r="I1" s="161"/>
      <c r="J1" s="748" t="s">
        <v>528</v>
      </c>
      <c r="K1" s="163">
        <v>81</v>
      </c>
      <c r="L1" s="161"/>
      <c r="M1" s="747" t="s">
        <v>546</v>
      </c>
      <c r="N1" s="336">
        <f>N11+I17</f>
        <v>10.3185</v>
      </c>
    </row>
    <row r="2" spans="1:14" x14ac:dyDescent="0.3">
      <c r="A2" s="747" t="s">
        <v>532</v>
      </c>
      <c r="B2" s="161" t="s">
        <v>13</v>
      </c>
      <c r="C2" s="161"/>
      <c r="D2" s="747" t="s">
        <v>536</v>
      </c>
      <c r="E2" s="161"/>
      <c r="F2" s="161"/>
      <c r="G2" s="161"/>
      <c r="H2" s="161"/>
      <c r="I2" s="161"/>
      <c r="J2" s="161"/>
      <c r="K2" s="161"/>
      <c r="L2" s="161"/>
      <c r="M2" s="747" t="s">
        <v>533</v>
      </c>
      <c r="N2" s="165">
        <v>1</v>
      </c>
    </row>
    <row r="3" spans="1:14" x14ac:dyDescent="0.3">
      <c r="A3" s="747" t="s">
        <v>534</v>
      </c>
      <c r="B3" s="161" t="s">
        <v>2591</v>
      </c>
      <c r="C3" s="161"/>
      <c r="D3" s="747" t="s">
        <v>538</v>
      </c>
      <c r="E3" s="161"/>
      <c r="F3" s="161"/>
      <c r="G3" s="161"/>
      <c r="H3" s="161"/>
      <c r="I3" s="161"/>
      <c r="J3" s="747" t="s">
        <v>536</v>
      </c>
      <c r="K3" s="161"/>
      <c r="L3" s="161"/>
      <c r="M3" s="161"/>
      <c r="N3" s="161"/>
    </row>
    <row r="4" spans="1:14" x14ac:dyDescent="0.3">
      <c r="A4" s="747" t="s">
        <v>545</v>
      </c>
      <c r="B4" s="166" t="s">
        <v>2592</v>
      </c>
      <c r="C4" s="161"/>
      <c r="D4" s="747" t="s">
        <v>541</v>
      </c>
      <c r="E4" s="161"/>
      <c r="F4" s="161"/>
      <c r="G4" s="161"/>
      <c r="H4" s="161"/>
      <c r="I4" s="161"/>
      <c r="J4" s="747" t="s">
        <v>538</v>
      </c>
      <c r="K4" s="161"/>
      <c r="L4" s="161"/>
      <c r="M4" s="747" t="s">
        <v>539</v>
      </c>
      <c r="N4" s="336">
        <f>N1*N2</f>
        <v>10.3185</v>
      </c>
    </row>
    <row r="5" spans="1:14" x14ac:dyDescent="0.3">
      <c r="A5" s="747" t="s">
        <v>537</v>
      </c>
      <c r="B5" s="166" t="s">
        <v>403</v>
      </c>
      <c r="C5" s="161"/>
      <c r="D5" s="161"/>
      <c r="E5" s="161"/>
      <c r="F5" s="161"/>
      <c r="G5" s="161"/>
      <c r="H5" s="161"/>
      <c r="I5" s="161"/>
      <c r="J5" s="747" t="s">
        <v>541</v>
      </c>
      <c r="K5" s="161"/>
      <c r="L5" s="161"/>
      <c r="M5" s="161"/>
      <c r="N5" s="161"/>
    </row>
    <row r="6" spans="1:14" x14ac:dyDescent="0.3">
      <c r="A6" s="747" t="s">
        <v>540</v>
      </c>
      <c r="B6" s="161" t="s">
        <v>36</v>
      </c>
      <c r="C6" s="161"/>
      <c r="D6" s="161"/>
      <c r="E6" s="161"/>
      <c r="F6" s="161"/>
      <c r="G6" s="161"/>
      <c r="H6" s="161"/>
      <c r="I6" s="161"/>
      <c r="J6" s="161"/>
      <c r="K6" s="161"/>
      <c r="L6" s="161"/>
      <c r="M6" s="161"/>
      <c r="N6" s="161"/>
    </row>
    <row r="7" spans="1:14" x14ac:dyDescent="0.3">
      <c r="A7" s="747" t="s">
        <v>542</v>
      </c>
      <c r="B7" s="161" t="s">
        <v>1117</v>
      </c>
      <c r="C7" s="161"/>
      <c r="D7" s="161"/>
      <c r="E7" s="161"/>
      <c r="F7" s="161"/>
      <c r="G7" s="161"/>
      <c r="H7" s="161"/>
      <c r="I7" s="161"/>
      <c r="J7" s="161"/>
      <c r="K7" s="161"/>
      <c r="L7" s="161"/>
      <c r="M7" s="161"/>
      <c r="N7" s="161"/>
    </row>
    <row r="8" spans="1:14" x14ac:dyDescent="0.3">
      <c r="A8" s="161"/>
      <c r="B8" s="161"/>
      <c r="C8" s="161"/>
      <c r="D8" s="161"/>
      <c r="E8" s="161"/>
      <c r="F8" s="161"/>
      <c r="G8" s="161"/>
      <c r="H8" s="161"/>
      <c r="I8" s="161"/>
      <c r="J8" s="161"/>
      <c r="K8" s="161"/>
      <c r="L8" s="161"/>
      <c r="M8" s="161"/>
      <c r="N8" s="161"/>
    </row>
    <row r="9" spans="1:14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</row>
    <row r="10" spans="1:14" ht="28.8" x14ac:dyDescent="0.3">
      <c r="A10" s="168">
        <v>10</v>
      </c>
      <c r="B10" s="168" t="s">
        <v>596</v>
      </c>
      <c r="C10" s="168" t="s">
        <v>2615</v>
      </c>
      <c r="D10" s="302">
        <v>2.25</v>
      </c>
      <c r="E10" s="168">
        <v>25</v>
      </c>
      <c r="F10" s="168" t="s">
        <v>573</v>
      </c>
      <c r="G10" s="168"/>
      <c r="H10" s="219"/>
      <c r="I10" s="269" t="s">
        <v>2616</v>
      </c>
      <c r="J10" s="227">
        <v>2E-3</v>
      </c>
      <c r="K10" s="610">
        <v>0.05</v>
      </c>
      <c r="L10" s="219">
        <v>7860</v>
      </c>
      <c r="M10" s="222">
        <v>1</v>
      </c>
      <c r="N10" s="322">
        <f>IF(J10="",D10*M10,D10*J10*K10*L10*M10)</f>
        <v>1.7685000000000004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1.7685000000000004</v>
      </c>
    </row>
    <row r="12" spans="1:14" x14ac:dyDescent="0.3">
      <c r="A12" s="161"/>
      <c r="B12" s="161"/>
      <c r="C12" s="161"/>
      <c r="D12" s="161"/>
      <c r="E12" s="161"/>
      <c r="F12" s="161"/>
      <c r="G12" s="161"/>
      <c r="H12" s="161"/>
      <c r="I12" s="161"/>
      <c r="J12" s="161"/>
      <c r="K12" s="161"/>
      <c r="L12" s="161"/>
      <c r="M12" s="161"/>
      <c r="N12" s="161"/>
    </row>
    <row r="13" spans="1:14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815" t="s">
        <v>589</v>
      </c>
      <c r="C14" s="234"/>
      <c r="D14" s="239">
        <v>1.3</v>
      </c>
      <c r="E14" s="234" t="s">
        <v>556</v>
      </c>
      <c r="F14" s="232">
        <v>1</v>
      </c>
      <c r="G14" s="232"/>
      <c r="H14" s="816"/>
      <c r="I14" s="246">
        <f>D14</f>
        <v>1.3</v>
      </c>
      <c r="J14" s="161"/>
      <c r="K14" s="161"/>
      <c r="L14" s="161"/>
      <c r="M14" s="161"/>
      <c r="N14" s="161"/>
    </row>
    <row r="15" spans="1:14" ht="28.8" x14ac:dyDescent="0.3">
      <c r="A15" s="168">
        <v>20</v>
      </c>
      <c r="B15" s="168" t="s">
        <v>609</v>
      </c>
      <c r="C15" s="817" t="s">
        <v>2617</v>
      </c>
      <c r="D15" s="239">
        <v>0.04</v>
      </c>
      <c r="E15" s="234" t="s">
        <v>610</v>
      </c>
      <c r="F15" s="232">
        <v>50</v>
      </c>
      <c r="G15" s="232" t="s">
        <v>2618</v>
      </c>
      <c r="H15" s="232">
        <v>3</v>
      </c>
      <c r="I15" s="239">
        <f>D15*F15*H15</f>
        <v>6</v>
      </c>
      <c r="J15" s="161"/>
      <c r="K15" s="161"/>
      <c r="L15" s="161"/>
      <c r="M15" s="161"/>
      <c r="N15" s="161"/>
    </row>
    <row r="16" spans="1:14" x14ac:dyDescent="0.3">
      <c r="A16" s="168">
        <v>30</v>
      </c>
      <c r="B16" s="180" t="s">
        <v>1256</v>
      </c>
      <c r="C16" s="234" t="s">
        <v>2614</v>
      </c>
      <c r="D16" s="239">
        <v>0.5</v>
      </c>
      <c r="E16" s="234" t="s">
        <v>593</v>
      </c>
      <c r="F16" s="232">
        <v>2.5</v>
      </c>
      <c r="G16" s="168"/>
      <c r="H16" s="168"/>
      <c r="I16" s="323">
        <f>D16*F16</f>
        <v>1.25</v>
      </c>
      <c r="J16" s="161"/>
      <c r="K16" s="161"/>
      <c r="L16" s="161"/>
      <c r="M16" s="161"/>
      <c r="N16" s="161"/>
    </row>
    <row r="17" spans="1:16" x14ac:dyDescent="0.3">
      <c r="A17" s="178"/>
      <c r="B17" s="178"/>
      <c r="C17" s="178"/>
      <c r="D17" s="178"/>
      <c r="E17" s="178"/>
      <c r="F17" s="178"/>
      <c r="G17" s="178"/>
      <c r="H17" s="752" t="s">
        <v>547</v>
      </c>
      <c r="I17" s="753">
        <f>SUM(I14:I16)</f>
        <v>8.5500000000000007</v>
      </c>
      <c r="J17" s="178"/>
      <c r="K17" s="178"/>
      <c r="L17" s="178"/>
      <c r="M17" s="178"/>
      <c r="N17" s="178"/>
    </row>
    <row r="18" spans="1:16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19" spans="1:16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  <c r="O19" s="147"/>
      <c r="P19" s="147"/>
    </row>
    <row r="20" spans="1:16" x14ac:dyDescent="0.3">
      <c r="A20" s="161"/>
      <c r="B20" s="161"/>
      <c r="C20" s="161"/>
      <c r="D20" s="161"/>
      <c r="E20" s="161"/>
      <c r="F20" s="161"/>
      <c r="G20" s="818"/>
      <c r="H20" s="819"/>
      <c r="I20" s="818"/>
      <c r="J20" s="820"/>
      <c r="K20" s="820"/>
      <c r="L20" s="821"/>
      <c r="M20" s="819"/>
      <c r="N20" s="161"/>
      <c r="O20" s="147"/>
      <c r="P20" s="147"/>
    </row>
    <row r="21" spans="1:16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  <c r="O21" s="147"/>
      <c r="P21" s="147"/>
    </row>
    <row r="22" spans="1:16" x14ac:dyDescent="0.3">
      <c r="A22" s="161"/>
      <c r="B22" s="161"/>
      <c r="C22" s="161"/>
      <c r="D22" s="161"/>
      <c r="E22" s="161"/>
      <c r="F22" s="161"/>
      <c r="G22" s="161"/>
      <c r="H22" s="161"/>
      <c r="I22" s="161"/>
      <c r="J22" s="161"/>
      <c r="K22" s="161"/>
      <c r="L22" s="161"/>
      <c r="M22" s="161"/>
      <c r="N22" s="161"/>
      <c r="O22" s="147"/>
      <c r="P22" s="147"/>
    </row>
    <row r="23" spans="1:16" x14ac:dyDescent="0.3">
      <c r="A23" s="161"/>
      <c r="B23" s="161"/>
      <c r="C23" s="161"/>
      <c r="D23" s="161"/>
      <c r="E23" s="161"/>
      <c r="F23" s="161"/>
      <c r="G23" s="161"/>
      <c r="H23" s="161"/>
      <c r="I23" s="161"/>
      <c r="J23" s="161"/>
      <c r="K23" s="161"/>
      <c r="L23" s="161"/>
      <c r="M23" s="161"/>
      <c r="N23" s="161"/>
      <c r="O23" s="147"/>
      <c r="P23" s="147"/>
    </row>
    <row r="24" spans="1:16" x14ac:dyDescent="0.3">
      <c r="E24" s="147"/>
      <c r="F24" s="147"/>
      <c r="G24" s="147"/>
      <c r="H24" s="147"/>
      <c r="I24" s="147"/>
      <c r="J24" s="147"/>
      <c r="K24" s="147"/>
      <c r="L24" s="147"/>
      <c r="M24" s="147"/>
      <c r="N24" s="147"/>
      <c r="O24" s="147"/>
      <c r="P24" s="147"/>
    </row>
    <row r="25" spans="1:16" x14ac:dyDescent="0.3">
      <c r="E25" s="147"/>
      <c r="F25" s="147"/>
      <c r="G25" s="147"/>
      <c r="H25" s="147"/>
      <c r="I25" s="147"/>
      <c r="J25" s="147"/>
      <c r="K25" s="147"/>
      <c r="L25" s="147"/>
      <c r="M25" s="147"/>
      <c r="N25" s="147"/>
      <c r="O25" s="147"/>
      <c r="P25" s="147"/>
    </row>
    <row r="26" spans="1:16" x14ac:dyDescent="0.3">
      <c r="E26" s="147"/>
      <c r="F26" s="147"/>
      <c r="G26" s="147"/>
      <c r="H26" s="147"/>
      <c r="I26" s="147"/>
      <c r="J26" s="147"/>
      <c r="K26" s="147"/>
      <c r="L26" s="147"/>
      <c r="M26" s="147"/>
      <c r="N26" s="147"/>
      <c r="O26" s="147"/>
      <c r="P26" s="147"/>
    </row>
    <row r="27" spans="1:16" x14ac:dyDescent="0.3">
      <c r="E27" s="147"/>
      <c r="F27" s="147"/>
      <c r="G27" s="147"/>
      <c r="H27" s="147"/>
      <c r="I27" s="147"/>
      <c r="J27" s="147"/>
      <c r="K27" s="147"/>
      <c r="L27" s="147"/>
      <c r="M27" s="147"/>
      <c r="N27" s="147"/>
      <c r="O27" s="147"/>
      <c r="P27" s="147"/>
    </row>
  </sheetData>
  <pageMargins left="0.78740157499999996" right="0.78740157499999996" top="0.984251969" bottom="0.984251969" header="0.5" footer="0.5"/>
  <pageSetup paperSize="9" scale="68" fitToHeight="0" orientation="landscape"/>
  <headerFooter alignWithMargins="0"/>
</worksheet>
</file>

<file path=xl/worksheets/sheet2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N29"/>
  <sheetViews>
    <sheetView showGridLines="0" workbookViewId="0"/>
  </sheetViews>
  <sheetFormatPr defaultColWidth="11.5546875" defaultRowHeight="14.4" x14ac:dyDescent="0.3"/>
  <cols>
    <col min="2" max="2" width="23.44140625" customWidth="1"/>
    <col min="3" max="3" width="32.44140625" customWidth="1"/>
    <col min="13" max="13" width="13.6640625" bestFit="1" customWidth="1"/>
  </cols>
  <sheetData>
    <row r="1" spans="1:14" x14ac:dyDescent="0.3">
      <c r="A1" s="747" t="s">
        <v>523</v>
      </c>
      <c r="B1" s="161" t="s">
        <v>524</v>
      </c>
      <c r="C1" s="161"/>
      <c r="D1" s="161"/>
      <c r="E1" s="161"/>
      <c r="F1" s="161"/>
      <c r="G1" s="161"/>
      <c r="H1" s="161"/>
      <c r="I1" s="161"/>
      <c r="J1" s="748" t="s">
        <v>528</v>
      </c>
      <c r="K1" s="163">
        <v>81</v>
      </c>
      <c r="L1" s="161"/>
      <c r="M1" s="747" t="s">
        <v>546</v>
      </c>
      <c r="N1" s="336">
        <f>N11+I18+I23</f>
        <v>11.846666666666668</v>
      </c>
    </row>
    <row r="2" spans="1:14" x14ac:dyDescent="0.3">
      <c r="A2" s="747" t="s">
        <v>532</v>
      </c>
      <c r="B2" s="161" t="s">
        <v>13</v>
      </c>
      <c r="C2" s="161"/>
      <c r="D2" s="747" t="s">
        <v>536</v>
      </c>
      <c r="E2" s="161"/>
      <c r="F2" s="161"/>
      <c r="G2" s="161"/>
      <c r="H2" s="161"/>
      <c r="I2" s="161"/>
      <c r="J2" s="161"/>
      <c r="K2" s="161"/>
      <c r="L2" s="161"/>
      <c r="M2" s="747" t="s">
        <v>533</v>
      </c>
      <c r="N2" s="165">
        <v>1</v>
      </c>
    </row>
    <row r="3" spans="1:14" x14ac:dyDescent="0.3">
      <c r="A3" s="747" t="s">
        <v>534</v>
      </c>
      <c r="B3" s="161" t="s">
        <v>2591</v>
      </c>
      <c r="C3" s="161"/>
      <c r="D3" s="747" t="s">
        <v>538</v>
      </c>
      <c r="E3" s="161"/>
      <c r="F3" s="161"/>
      <c r="G3" s="161"/>
      <c r="H3" s="161"/>
      <c r="I3" s="161"/>
      <c r="J3" s="747" t="s">
        <v>536</v>
      </c>
      <c r="K3" s="161"/>
      <c r="L3" s="161"/>
      <c r="M3" s="161"/>
      <c r="N3" s="161"/>
    </row>
    <row r="4" spans="1:14" x14ac:dyDescent="0.3">
      <c r="A4" s="747" t="s">
        <v>545</v>
      </c>
      <c r="B4" s="166" t="s">
        <v>405</v>
      </c>
      <c r="C4" s="161"/>
      <c r="D4" s="747" t="s">
        <v>541</v>
      </c>
      <c r="E4" s="161"/>
      <c r="F4" s="161"/>
      <c r="G4" s="161"/>
      <c r="H4" s="161"/>
      <c r="I4" s="161"/>
      <c r="J4" s="747" t="s">
        <v>538</v>
      </c>
      <c r="K4" s="161"/>
      <c r="L4" s="161"/>
      <c r="M4" s="747" t="s">
        <v>539</v>
      </c>
      <c r="N4" s="336">
        <f>N1*N2</f>
        <v>11.846666666666668</v>
      </c>
    </row>
    <row r="5" spans="1:14" x14ac:dyDescent="0.3">
      <c r="A5" s="747" t="s">
        <v>537</v>
      </c>
      <c r="B5" s="166" t="s">
        <v>404</v>
      </c>
      <c r="C5" s="161"/>
      <c r="D5" s="161"/>
      <c r="E5" s="161"/>
      <c r="F5" s="161"/>
      <c r="G5" s="161"/>
      <c r="H5" s="161"/>
      <c r="I5" s="161"/>
      <c r="J5" s="747" t="s">
        <v>541</v>
      </c>
      <c r="K5" s="161"/>
      <c r="L5" s="161"/>
      <c r="M5" s="161"/>
      <c r="N5" s="161"/>
    </row>
    <row r="6" spans="1:14" x14ac:dyDescent="0.3">
      <c r="A6" s="747" t="s">
        <v>540</v>
      </c>
      <c r="B6" s="161" t="s">
        <v>36</v>
      </c>
      <c r="C6" s="161"/>
      <c r="D6" s="161"/>
      <c r="E6" s="161"/>
      <c r="F6" s="161"/>
      <c r="G6" s="161"/>
      <c r="H6" s="161"/>
      <c r="I6" s="161"/>
      <c r="J6" s="161"/>
      <c r="K6" s="161"/>
      <c r="L6" s="161"/>
      <c r="M6" s="161"/>
      <c r="N6" s="161"/>
    </row>
    <row r="7" spans="1:14" x14ac:dyDescent="0.3">
      <c r="A7" s="747" t="s">
        <v>542</v>
      </c>
      <c r="B7" s="161" t="s">
        <v>1117</v>
      </c>
      <c r="C7" s="161"/>
      <c r="D7" s="161"/>
      <c r="E7" s="161"/>
      <c r="F7" s="161"/>
      <c r="G7" s="161"/>
      <c r="H7" s="161"/>
      <c r="I7" s="161"/>
      <c r="J7" s="161"/>
      <c r="K7" s="161"/>
      <c r="L7" s="161"/>
      <c r="M7" s="161"/>
      <c r="N7" s="161"/>
    </row>
    <row r="8" spans="1:14" x14ac:dyDescent="0.3">
      <c r="A8" s="161"/>
      <c r="B8" s="161"/>
      <c r="C8" s="161"/>
      <c r="D8" s="161"/>
      <c r="E8" s="161"/>
      <c r="F8" s="161"/>
      <c r="G8" s="161"/>
      <c r="H8" s="161"/>
      <c r="I8" s="161"/>
      <c r="J8" s="161"/>
      <c r="K8" s="161"/>
      <c r="L8" s="161"/>
      <c r="M8" s="161"/>
      <c r="N8" s="161"/>
    </row>
    <row r="9" spans="1:14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</row>
    <row r="10" spans="1:14" x14ac:dyDescent="0.3">
      <c r="A10" s="168">
        <v>10</v>
      </c>
      <c r="B10" s="168" t="s">
        <v>707</v>
      </c>
      <c r="C10" s="168" t="s">
        <v>2619</v>
      </c>
      <c r="D10" s="302">
        <v>4.2</v>
      </c>
      <c r="E10" s="168">
        <v>0.3</v>
      </c>
      <c r="F10" s="168" t="s">
        <v>856</v>
      </c>
      <c r="G10" s="168"/>
      <c r="H10" s="219"/>
      <c r="I10" s="269"/>
      <c r="J10" s="227"/>
      <c r="K10" s="610"/>
      <c r="L10" s="219"/>
      <c r="M10" s="222">
        <v>1</v>
      </c>
      <c r="N10" s="362">
        <f>D10*E10</f>
        <v>1.26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822">
        <f>SUM(N10:N10)</f>
        <v>1.26</v>
      </c>
    </row>
    <row r="12" spans="1:14" x14ac:dyDescent="0.3">
      <c r="A12" s="248"/>
      <c r="B12" s="248"/>
      <c r="C12" s="248"/>
      <c r="D12" s="248"/>
      <c r="E12" s="248"/>
      <c r="F12" s="248"/>
      <c r="G12" s="248"/>
      <c r="H12" s="248"/>
      <c r="I12" s="248"/>
      <c r="J12" s="161"/>
      <c r="K12" s="161"/>
      <c r="L12" s="161"/>
      <c r="M12" s="161"/>
      <c r="N12" s="161"/>
    </row>
    <row r="13" spans="1:14" x14ac:dyDescent="0.3">
      <c r="A13" s="777" t="s">
        <v>544</v>
      </c>
      <c r="B13" s="777" t="s">
        <v>548</v>
      </c>
      <c r="C13" s="777" t="s">
        <v>549</v>
      </c>
      <c r="D13" s="777" t="s">
        <v>550</v>
      </c>
      <c r="E13" s="777" t="s">
        <v>551</v>
      </c>
      <c r="F13" s="777" t="s">
        <v>28</v>
      </c>
      <c r="G13" s="777" t="s">
        <v>552</v>
      </c>
      <c r="H13" s="777" t="s">
        <v>553</v>
      </c>
      <c r="I13" s="777" t="s">
        <v>547</v>
      </c>
      <c r="J13" s="178"/>
      <c r="K13" s="178"/>
      <c r="L13" s="178"/>
      <c r="M13" s="178"/>
      <c r="N13" s="178"/>
    </row>
    <row r="14" spans="1:14" x14ac:dyDescent="0.3">
      <c r="A14" s="184">
        <v>10</v>
      </c>
      <c r="B14" s="622" t="s">
        <v>1790</v>
      </c>
      <c r="C14" s="622" t="s">
        <v>2620</v>
      </c>
      <c r="D14" s="362">
        <v>4</v>
      </c>
      <c r="E14" s="622" t="s">
        <v>856</v>
      </c>
      <c r="F14" s="622">
        <v>0.3</v>
      </c>
      <c r="G14" s="622"/>
      <c r="H14" s="656"/>
      <c r="I14" s="362">
        <f>D14*F14</f>
        <v>1.2</v>
      </c>
      <c r="J14" s="161"/>
      <c r="K14" s="161"/>
      <c r="L14" s="161"/>
      <c r="M14" s="161"/>
      <c r="N14" s="161"/>
    </row>
    <row r="15" spans="1:14" ht="28.8" x14ac:dyDescent="0.3">
      <c r="A15" s="184">
        <v>20</v>
      </c>
      <c r="B15" s="180" t="s">
        <v>589</v>
      </c>
      <c r="C15" s="193"/>
      <c r="D15" s="362">
        <v>1.3</v>
      </c>
      <c r="E15" s="184"/>
      <c r="F15" s="184">
        <v>1</v>
      </c>
      <c r="G15" s="184"/>
      <c r="H15" s="184"/>
      <c r="I15" s="362">
        <f>D15</f>
        <v>1.3</v>
      </c>
      <c r="J15" s="161"/>
      <c r="K15" s="161"/>
      <c r="L15" s="161"/>
      <c r="M15" s="161"/>
      <c r="N15" s="161"/>
    </row>
    <row r="16" spans="1:14" ht="28.8" x14ac:dyDescent="0.3">
      <c r="A16" s="184">
        <v>30</v>
      </c>
      <c r="B16" s="180" t="s">
        <v>609</v>
      </c>
      <c r="C16" s="184" t="s">
        <v>2621</v>
      </c>
      <c r="D16" s="362">
        <v>0.04</v>
      </c>
      <c r="E16" s="184" t="s">
        <v>610</v>
      </c>
      <c r="F16" s="184">
        <v>18</v>
      </c>
      <c r="G16" s="184" t="s">
        <v>723</v>
      </c>
      <c r="H16" s="184">
        <v>1</v>
      </c>
      <c r="I16" s="363">
        <f>F16*D16</f>
        <v>0.72</v>
      </c>
      <c r="J16" s="161"/>
      <c r="K16" s="161"/>
      <c r="L16" s="161"/>
      <c r="M16" s="161"/>
      <c r="N16" s="161"/>
    </row>
    <row r="17" spans="1:14" x14ac:dyDescent="0.3">
      <c r="A17" s="184">
        <v>40</v>
      </c>
      <c r="B17" s="193" t="s">
        <v>1623</v>
      </c>
      <c r="C17" s="193" t="s">
        <v>2622</v>
      </c>
      <c r="D17" s="284">
        <v>0.35</v>
      </c>
      <c r="E17" s="184" t="s">
        <v>843</v>
      </c>
      <c r="F17" s="184">
        <v>2</v>
      </c>
      <c r="G17" s="184"/>
      <c r="H17" s="184"/>
      <c r="I17" s="362">
        <f>D17*F17</f>
        <v>0.7</v>
      </c>
      <c r="J17" s="161"/>
      <c r="K17" s="161"/>
      <c r="L17" s="161"/>
      <c r="M17" s="161"/>
      <c r="N17" s="161"/>
    </row>
    <row r="18" spans="1:14" x14ac:dyDescent="0.3">
      <c r="A18" s="278"/>
      <c r="B18" s="278"/>
      <c r="C18" s="278"/>
      <c r="D18" s="278"/>
      <c r="E18" s="278"/>
      <c r="F18" s="278"/>
      <c r="G18" s="278"/>
      <c r="H18" s="823" t="s">
        <v>547</v>
      </c>
      <c r="I18" s="822">
        <f>SUM(I14:I17)</f>
        <v>3.92</v>
      </c>
      <c r="J18" s="178"/>
      <c r="K18" s="178"/>
      <c r="L18" s="178"/>
      <c r="M18" s="178"/>
      <c r="N18" s="178"/>
    </row>
    <row r="19" spans="1:14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0" spans="1:14" x14ac:dyDescent="0.3">
      <c r="A20" s="161"/>
      <c r="B20" s="161"/>
      <c r="C20" s="161"/>
      <c r="D20" s="161"/>
      <c r="E20" s="161"/>
      <c r="F20" s="161"/>
      <c r="G20" s="161"/>
      <c r="H20" s="326"/>
      <c r="I20" s="325"/>
      <c r="J20" s="161"/>
      <c r="K20" s="161"/>
      <c r="L20" s="161"/>
      <c r="M20" s="161"/>
      <c r="N20" s="161"/>
    </row>
    <row r="21" spans="1:14" x14ac:dyDescent="0.3">
      <c r="A21" s="749" t="s">
        <v>544</v>
      </c>
      <c r="B21" s="749" t="s">
        <v>6</v>
      </c>
      <c r="C21" s="749" t="s">
        <v>549</v>
      </c>
      <c r="D21" s="749" t="s">
        <v>550</v>
      </c>
      <c r="E21" s="749" t="s">
        <v>551</v>
      </c>
      <c r="F21" s="749" t="s">
        <v>28</v>
      </c>
      <c r="G21" s="749" t="s">
        <v>691</v>
      </c>
      <c r="H21" s="749" t="s">
        <v>692</v>
      </c>
      <c r="I21" s="749" t="s">
        <v>547</v>
      </c>
      <c r="J21" s="178"/>
      <c r="K21" s="178"/>
      <c r="L21" s="178"/>
      <c r="M21" s="178"/>
      <c r="N21" s="178"/>
    </row>
    <row r="22" spans="1:14" x14ac:dyDescent="0.3">
      <c r="A22" s="168">
        <v>10</v>
      </c>
      <c r="B22" s="168" t="s">
        <v>1796</v>
      </c>
      <c r="C22" s="168"/>
      <c r="D22" s="323">
        <v>10000</v>
      </c>
      <c r="E22" s="168" t="s">
        <v>1797</v>
      </c>
      <c r="F22" s="168">
        <v>2</v>
      </c>
      <c r="G22" s="168">
        <v>3000</v>
      </c>
      <c r="H22" s="168">
        <v>1</v>
      </c>
      <c r="I22" s="362">
        <f>D22*F22/G22*H22</f>
        <v>6.666666666666667</v>
      </c>
      <c r="J22" s="161"/>
      <c r="K22" s="161"/>
      <c r="L22" s="161"/>
      <c r="M22" s="824"/>
      <c r="N22" s="161"/>
    </row>
    <row r="23" spans="1:14" x14ac:dyDescent="0.3">
      <c r="A23" s="178"/>
      <c r="B23" s="178"/>
      <c r="C23" s="178"/>
      <c r="D23" s="178"/>
      <c r="E23" s="178"/>
      <c r="F23" s="178"/>
      <c r="G23" s="178"/>
      <c r="H23" s="752" t="s">
        <v>547</v>
      </c>
      <c r="I23" s="822">
        <f>SUM(I22:I22)</f>
        <v>6.666666666666667</v>
      </c>
      <c r="J23" s="178"/>
      <c r="K23" s="178"/>
      <c r="L23" s="178"/>
      <c r="M23" s="178"/>
      <c r="N23" s="178"/>
    </row>
    <row r="24" spans="1:14" x14ac:dyDescent="0.3">
      <c r="A24" s="161"/>
      <c r="B24" s="161"/>
      <c r="C24" s="161"/>
      <c r="D24" s="161"/>
      <c r="E24" s="161"/>
      <c r="F24" s="161"/>
      <c r="G24" s="161"/>
      <c r="H24" s="326"/>
      <c r="I24" s="325"/>
      <c r="J24" s="161"/>
      <c r="K24" s="161"/>
      <c r="L24" s="161"/>
      <c r="M24" s="161"/>
      <c r="N24" s="161"/>
    </row>
    <row r="25" spans="1:14" x14ac:dyDescent="0.3">
      <c r="A25" s="161"/>
      <c r="B25" s="161"/>
      <c r="C25" s="161"/>
      <c r="D25" s="161"/>
      <c r="E25" s="161"/>
      <c r="F25" s="161"/>
      <c r="G25" s="161"/>
      <c r="H25" s="161"/>
      <c r="I25" s="161"/>
      <c r="J25" s="161"/>
      <c r="K25" s="161"/>
      <c r="L25" s="161"/>
      <c r="M25" s="161"/>
      <c r="N25" s="161"/>
    </row>
    <row r="26" spans="1:14" x14ac:dyDescent="0.3">
      <c r="A26" s="161"/>
      <c r="B26" s="161"/>
      <c r="C26" s="161"/>
      <c r="D26" s="161"/>
      <c r="E26" s="161"/>
      <c r="F26" s="161"/>
      <c r="G26" s="161"/>
      <c r="H26" s="161"/>
      <c r="I26" s="161"/>
      <c r="J26" s="161"/>
      <c r="K26" s="161"/>
      <c r="L26" s="161"/>
      <c r="M26" s="161"/>
      <c r="N26" s="161"/>
    </row>
    <row r="27" spans="1:14" x14ac:dyDescent="0.3">
      <c r="A27" s="161"/>
      <c r="B27" s="161"/>
      <c r="C27" s="161"/>
      <c r="D27" s="161"/>
      <c r="E27" s="161"/>
      <c r="F27" s="736"/>
      <c r="G27" s="161"/>
      <c r="H27" s="161"/>
      <c r="I27" s="161"/>
      <c r="J27" s="161"/>
      <c r="K27" s="161"/>
      <c r="L27" s="161"/>
      <c r="M27" s="161"/>
      <c r="N27" s="161"/>
    </row>
    <row r="28" spans="1:14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  <c r="L28" s="161"/>
      <c r="M28" s="161"/>
      <c r="N28" s="161"/>
    </row>
    <row r="29" spans="1:14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</sheetData>
  <pageMargins left="0.78740157499999996" right="0.78740157499999996" top="0.984251969" bottom="0.984251969" header="0.5" footer="0.5"/>
  <pageSetup paperSize="9" scale="64" fitToHeight="0" orientation="landscape"/>
  <headerFooter alignWithMargins="0"/>
</worksheet>
</file>

<file path=xl/worksheets/sheet2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O23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3.4414062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9.33203125" style="16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109375" style="161" customWidth="1"/>
    <col min="14" max="14" width="11.6640625" style="161" customWidth="1"/>
    <col min="15" max="16384" width="9.109375" style="161"/>
  </cols>
  <sheetData>
    <row r="1" spans="1:15" x14ac:dyDescent="0.3">
      <c r="A1" s="747" t="s">
        <v>523</v>
      </c>
      <c r="B1" s="161" t="s">
        <v>524</v>
      </c>
      <c r="J1" s="748" t="s">
        <v>528</v>
      </c>
      <c r="K1" s="163">
        <v>81</v>
      </c>
      <c r="M1" s="747" t="s">
        <v>546</v>
      </c>
      <c r="N1" s="336">
        <f>N11+I17</f>
        <v>4.0850165000000001</v>
      </c>
    </row>
    <row r="2" spans="1:15" x14ac:dyDescent="0.3">
      <c r="A2" s="747" t="s">
        <v>532</v>
      </c>
      <c r="B2" s="161" t="s">
        <v>13</v>
      </c>
      <c r="C2" s="359" t="s">
        <v>2633</v>
      </c>
      <c r="D2" s="778" t="s">
        <v>536</v>
      </c>
      <c r="M2" s="747" t="s">
        <v>533</v>
      </c>
      <c r="N2" s="165">
        <v>2</v>
      </c>
    </row>
    <row r="3" spans="1:15" x14ac:dyDescent="0.3">
      <c r="A3" s="747" t="s">
        <v>534</v>
      </c>
      <c r="B3" s="161" t="s">
        <v>2591</v>
      </c>
      <c r="D3" s="747" t="s">
        <v>538</v>
      </c>
      <c r="J3" s="747" t="s">
        <v>536</v>
      </c>
    </row>
    <row r="4" spans="1:15" x14ac:dyDescent="0.3">
      <c r="A4" s="747" t="s">
        <v>545</v>
      </c>
      <c r="B4" s="166" t="s">
        <v>2623</v>
      </c>
      <c r="D4" s="747" t="s">
        <v>541</v>
      </c>
      <c r="J4" s="747" t="s">
        <v>538</v>
      </c>
      <c r="M4" s="747" t="s">
        <v>539</v>
      </c>
      <c r="N4" s="336">
        <f>N1*N2</f>
        <v>8.1700330000000001</v>
      </c>
    </row>
    <row r="5" spans="1:15" x14ac:dyDescent="0.3">
      <c r="A5" s="747" t="s">
        <v>537</v>
      </c>
      <c r="B5" s="166" t="s">
        <v>406</v>
      </c>
      <c r="J5" s="747" t="s">
        <v>541</v>
      </c>
    </row>
    <row r="6" spans="1:15" x14ac:dyDescent="0.3">
      <c r="A6" s="747" t="s">
        <v>540</v>
      </c>
      <c r="B6" s="161" t="s">
        <v>36</v>
      </c>
    </row>
    <row r="7" spans="1:15" x14ac:dyDescent="0.3">
      <c r="A7" s="747" t="s">
        <v>542</v>
      </c>
    </row>
    <row r="9" spans="1:15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  <c r="O9" s="178"/>
    </row>
    <row r="10" spans="1:15" ht="43.2" x14ac:dyDescent="0.3">
      <c r="A10" s="168">
        <v>10</v>
      </c>
      <c r="B10" s="168" t="s">
        <v>596</v>
      </c>
      <c r="C10" s="168" t="s">
        <v>2624</v>
      </c>
      <c r="D10" s="302">
        <v>2.25</v>
      </c>
      <c r="E10" s="168">
        <v>60</v>
      </c>
      <c r="F10" s="168" t="s">
        <v>573</v>
      </c>
      <c r="G10" s="168">
        <v>70</v>
      </c>
      <c r="H10" s="219" t="s">
        <v>573</v>
      </c>
      <c r="I10" s="269" t="s">
        <v>2625</v>
      </c>
      <c r="J10" s="227">
        <f>E10*G10*0.000001</f>
        <v>4.1999999999999997E-3</v>
      </c>
      <c r="K10" s="610">
        <v>1.4500000000000001E-2</v>
      </c>
      <c r="L10" s="219">
        <v>7860</v>
      </c>
      <c r="M10" s="222">
        <v>1</v>
      </c>
      <c r="N10" s="322">
        <f>IF(J10="",D10*M10,D10*J10*K10*L10*M10)</f>
        <v>1.0770165</v>
      </c>
    </row>
    <row r="11" spans="1:15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1.0770165</v>
      </c>
      <c r="O11" s="178"/>
    </row>
    <row r="13" spans="1:15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  <c r="O13" s="178"/>
    </row>
    <row r="14" spans="1:15" customFormat="1" ht="28.8" x14ac:dyDescent="0.3">
      <c r="A14" s="184">
        <v>10</v>
      </c>
      <c r="B14" s="180" t="s">
        <v>589</v>
      </c>
      <c r="C14" s="193" t="s">
        <v>590</v>
      </c>
      <c r="D14" s="362">
        <v>1.3</v>
      </c>
      <c r="E14" s="184" t="s">
        <v>556</v>
      </c>
      <c r="F14" s="184">
        <v>1</v>
      </c>
      <c r="G14" s="184"/>
      <c r="H14" s="184"/>
      <c r="I14" s="323">
        <f>D14</f>
        <v>1.3</v>
      </c>
      <c r="J14" s="161"/>
      <c r="K14" s="161"/>
      <c r="L14" s="161"/>
      <c r="M14" s="161"/>
      <c r="N14" s="161"/>
    </row>
    <row r="15" spans="1:15" x14ac:dyDescent="0.3">
      <c r="A15" s="168">
        <v>20</v>
      </c>
      <c r="B15" s="180" t="s">
        <v>591</v>
      </c>
      <c r="C15" s="171" t="s">
        <v>2508</v>
      </c>
      <c r="D15" s="243">
        <v>0.01</v>
      </c>
      <c r="E15" s="168" t="s">
        <v>593</v>
      </c>
      <c r="F15" s="168">
        <v>33.6</v>
      </c>
      <c r="G15" s="168" t="s">
        <v>598</v>
      </c>
      <c r="H15" s="168">
        <v>3</v>
      </c>
      <c r="I15" s="323">
        <f>D15*F15*H15</f>
        <v>1.008</v>
      </c>
    </row>
    <row r="16" spans="1:15" ht="28.8" x14ac:dyDescent="0.3">
      <c r="A16" s="168">
        <v>30</v>
      </c>
      <c r="B16" s="180" t="s">
        <v>791</v>
      </c>
      <c r="C16" s="171" t="s">
        <v>2626</v>
      </c>
      <c r="D16" s="243">
        <v>0.35</v>
      </c>
      <c r="E16" s="168" t="s">
        <v>843</v>
      </c>
      <c r="F16" s="168">
        <v>2</v>
      </c>
      <c r="G16" s="168"/>
      <c r="H16" s="168"/>
      <c r="I16" s="322">
        <f>D16*F16</f>
        <v>0.7</v>
      </c>
    </row>
    <row r="17" spans="1:15" x14ac:dyDescent="0.3">
      <c r="A17" s="178"/>
      <c r="B17" s="178"/>
      <c r="C17" s="178"/>
      <c r="D17" s="178"/>
      <c r="E17" s="178"/>
      <c r="F17" s="178"/>
      <c r="G17" s="178"/>
      <c r="H17" s="752" t="s">
        <v>547</v>
      </c>
      <c r="I17" s="753">
        <f>SUM(I14:I16)</f>
        <v>3.008</v>
      </c>
      <c r="J17" s="178"/>
      <c r="K17" s="178"/>
      <c r="L17" s="178"/>
      <c r="M17" s="178"/>
      <c r="N17" s="178"/>
      <c r="O17" s="178"/>
    </row>
    <row r="20" spans="1:15" s="178" customFormat="1" x14ac:dyDescent="0.3">
      <c r="A20" s="161"/>
      <c r="B20" s="161"/>
      <c r="C20" s="161"/>
      <c r="D20" s="161"/>
      <c r="E20" s="161"/>
      <c r="F20" s="161"/>
      <c r="G20" s="161"/>
      <c r="H20" s="161"/>
      <c r="I20" s="161"/>
      <c r="J20" s="161"/>
      <c r="K20" s="161"/>
      <c r="L20" s="161"/>
      <c r="M20" s="161"/>
      <c r="N20" s="161"/>
      <c r="O20" s="161"/>
    </row>
    <row r="23" spans="1:15" s="178" customFormat="1" x14ac:dyDescent="0.3"/>
  </sheetData>
  <hyperlinks>
    <hyperlink ref="D2" location="'Lower rack mount drawing'!A1" display="FileLink1"/>
  </hyperlinks>
  <pageMargins left="0.5" right="0.5" top="0.75" bottom="0.75" header="0.3" footer="0.3"/>
  <pageSetup paperSize="9" scale="65" orientation="landscape" r:id="rId1"/>
  <headerFooter alignWithMargins="0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8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26.33203125" style="161" customWidth="1"/>
    <col min="3" max="3" width="15.33203125" style="161" customWidth="1"/>
    <col min="4" max="4" width="11.109375" style="161" customWidth="1"/>
    <col min="5" max="5" width="8.33203125" style="161" customWidth="1"/>
    <col min="6" max="6" width="11.33203125" style="161" bestFit="1" customWidth="1"/>
    <col min="7" max="7" width="14.44140625" style="161" bestFit="1" customWidth="1"/>
    <col min="8" max="8" width="12.44140625" style="161" bestFit="1" customWidth="1"/>
    <col min="9" max="9" width="15.6640625" style="161" customWidth="1"/>
    <col min="10" max="10" width="12" style="161" customWidth="1"/>
    <col min="11" max="11" width="8.88671875" style="161" customWidth="1"/>
    <col min="12" max="12" width="9.6640625" style="161" customWidth="1"/>
    <col min="13" max="13" width="17.88671875" style="161" bestFit="1" customWidth="1"/>
    <col min="14" max="14" width="11.66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N11+I18</f>
        <v>8.0453159999999997</v>
      </c>
    </row>
    <row r="2" spans="1:14" x14ac:dyDescent="0.3">
      <c r="A2" s="342" t="s">
        <v>532</v>
      </c>
      <c r="B2" s="161" t="s">
        <v>780</v>
      </c>
      <c r="C2" s="318" t="s">
        <v>732</v>
      </c>
      <c r="D2" s="345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68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778</v>
      </c>
      <c r="D4" s="342" t="s">
        <v>541</v>
      </c>
      <c r="J4" s="342" t="s">
        <v>538</v>
      </c>
      <c r="M4" s="342" t="s">
        <v>539</v>
      </c>
      <c r="N4" s="336">
        <f>N1*N2</f>
        <v>16.090631999999999</v>
      </c>
    </row>
    <row r="5" spans="1:14" x14ac:dyDescent="0.3">
      <c r="A5" s="342" t="s">
        <v>537</v>
      </c>
      <c r="B5" s="166" t="s">
        <v>71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95" customHeight="1" x14ac:dyDescent="0.3">
      <c r="A10" s="168">
        <v>10</v>
      </c>
      <c r="B10" s="168" t="s">
        <v>606</v>
      </c>
      <c r="C10" s="168" t="s">
        <v>787</v>
      </c>
      <c r="D10" s="323">
        <v>2.25</v>
      </c>
      <c r="E10" s="168">
        <v>54</v>
      </c>
      <c r="F10" s="168" t="s">
        <v>573</v>
      </c>
      <c r="G10" s="168">
        <v>52</v>
      </c>
      <c r="H10" s="219" t="s">
        <v>573</v>
      </c>
      <c r="I10" s="269" t="s">
        <v>786</v>
      </c>
      <c r="J10" s="340">
        <f>50*52/1000000</f>
        <v>2.5999999999999999E-3</v>
      </c>
      <c r="K10" s="228">
        <v>3.5999999999999997E-2</v>
      </c>
      <c r="L10" s="219">
        <v>7860</v>
      </c>
      <c r="M10" s="339">
        <v>1</v>
      </c>
      <c r="N10" s="322">
        <f>IF(J10="",D10*M10,D10*J10*K10*L10*M10)</f>
        <v>1.6553159999999998</v>
      </c>
    </row>
    <row r="11" spans="1:14" s="178" customFormat="1" x14ac:dyDescent="0.3">
      <c r="M11" s="338" t="s">
        <v>547</v>
      </c>
      <c r="N11" s="337">
        <f>SUM(N10:N10)</f>
        <v>1.6553159999999998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31.95" customHeight="1" x14ac:dyDescent="0.3">
      <c r="A14" s="168">
        <v>10</v>
      </c>
      <c r="B14" s="315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IF('EN 01002'!$H14&lt;&gt;"",'EN 01002'!$D14*'EN 01002'!$F14*'EN 01002'!$H14,'EN 01002'!$D14*'EN 01002'!$F14)</f>
        <v>1.3</v>
      </c>
    </row>
    <row r="15" spans="1:14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32</v>
      </c>
      <c r="G15" s="168" t="s">
        <v>784</v>
      </c>
      <c r="H15" s="168">
        <v>3</v>
      </c>
      <c r="I15" s="322">
        <f>IF('EN 01002'!$H15&lt;&gt;"",'EN 01002'!$D15*'EN 01002'!$F15*'EN 01002'!$H15,'EN 01002'!$D15*'EN 01002'!$F15)</f>
        <v>3.84</v>
      </c>
    </row>
    <row r="16" spans="1:14" x14ac:dyDescent="0.3">
      <c r="A16" s="168">
        <v>30</v>
      </c>
      <c r="B16" s="315" t="s">
        <v>785</v>
      </c>
      <c r="C16" s="171"/>
      <c r="D16" s="323">
        <v>0.65</v>
      </c>
      <c r="E16" s="168" t="s">
        <v>556</v>
      </c>
      <c r="F16" s="168">
        <v>1</v>
      </c>
      <c r="G16" s="168"/>
      <c r="H16" s="168"/>
      <c r="I16" s="322">
        <f>IF('EN 01002'!$H16&lt;&gt;"",'EN 01002'!$D16*'EN 01002'!$F16*'EN 01002'!$H16,'EN 01002'!$D16*'EN 01002'!$F16)</f>
        <v>0.65</v>
      </c>
    </row>
    <row r="17" spans="1:9" x14ac:dyDescent="0.3">
      <c r="A17" s="168">
        <v>40</v>
      </c>
      <c r="B17" s="171" t="s">
        <v>609</v>
      </c>
      <c r="C17" s="171"/>
      <c r="D17" s="323">
        <v>0.04</v>
      </c>
      <c r="E17" s="168" t="s">
        <v>610</v>
      </c>
      <c r="F17" s="168">
        <v>5</v>
      </c>
      <c r="G17" s="168" t="s">
        <v>784</v>
      </c>
      <c r="H17" s="168">
        <v>3</v>
      </c>
      <c r="I17" s="322">
        <f>IF('EN 01002'!$H17&lt;&gt;"",'EN 01002'!$D17*'EN 01002'!$F17*'EN 01002'!$H17,'EN 01002'!$D17*'EN 01002'!$F17)</f>
        <v>0.60000000000000009</v>
      </c>
    </row>
    <row r="18" spans="1:9" s="178" customFormat="1" x14ac:dyDescent="0.3">
      <c r="H18" s="338" t="s">
        <v>547</v>
      </c>
      <c r="I18" s="337">
        <f>SUM(I14:I17)</f>
        <v>6.3900000000000006</v>
      </c>
    </row>
  </sheetData>
  <hyperlinks>
    <hyperlink ref="D2" location="'Upper mount drawing'!A1" display="FileLink1"/>
  </hyperlinks>
  <pageMargins left="0.5" right="0.5" top="0.75" bottom="0.75" header="0.3" footer="0.3"/>
  <pageSetup paperSize="9" scale="72" orientation="landscape" r:id="rId1"/>
</worksheet>
</file>

<file path=xl/worksheets/sheet2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Q17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3.4414062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7" x14ac:dyDescent="0.3">
      <c r="A1" s="747" t="s">
        <v>523</v>
      </c>
      <c r="B1" s="161" t="s">
        <v>524</v>
      </c>
      <c r="J1" s="748" t="s">
        <v>528</v>
      </c>
      <c r="K1" s="163">
        <v>81</v>
      </c>
      <c r="M1" s="747" t="s">
        <v>546</v>
      </c>
      <c r="N1" s="336">
        <f>N11+I17</f>
        <v>2.4324530400000004</v>
      </c>
    </row>
    <row r="2" spans="1:17" x14ac:dyDescent="0.3">
      <c r="A2" s="747" t="s">
        <v>532</v>
      </c>
      <c r="B2" s="161" t="s">
        <v>13</v>
      </c>
      <c r="D2" s="747" t="s">
        <v>536</v>
      </c>
      <c r="M2" s="747" t="s">
        <v>533</v>
      </c>
      <c r="N2" s="165">
        <v>2</v>
      </c>
    </row>
    <row r="3" spans="1:17" x14ac:dyDescent="0.3">
      <c r="A3" s="747" t="s">
        <v>534</v>
      </c>
      <c r="B3" s="161" t="s">
        <v>2591</v>
      </c>
      <c r="D3" s="747" t="s">
        <v>538</v>
      </c>
      <c r="J3" s="747" t="s">
        <v>536</v>
      </c>
    </row>
    <row r="4" spans="1:17" x14ac:dyDescent="0.3">
      <c r="A4" s="747" t="s">
        <v>545</v>
      </c>
      <c r="B4" s="166" t="s">
        <v>408</v>
      </c>
      <c r="D4" s="747" t="s">
        <v>541</v>
      </c>
      <c r="J4" s="747" t="s">
        <v>538</v>
      </c>
      <c r="M4" s="747" t="s">
        <v>539</v>
      </c>
      <c r="N4" s="336">
        <f>N1*N2</f>
        <v>4.8649060800000008</v>
      </c>
    </row>
    <row r="5" spans="1:17" x14ac:dyDescent="0.3">
      <c r="A5" s="747" t="s">
        <v>537</v>
      </c>
      <c r="B5" s="166" t="s">
        <v>407</v>
      </c>
      <c r="J5" s="747" t="s">
        <v>541</v>
      </c>
    </row>
    <row r="6" spans="1:17" x14ac:dyDescent="0.3">
      <c r="A6" s="747" t="s">
        <v>540</v>
      </c>
      <c r="B6" s="161" t="s">
        <v>36</v>
      </c>
    </row>
    <row r="7" spans="1:17" x14ac:dyDescent="0.3">
      <c r="A7" s="747" t="s">
        <v>542</v>
      </c>
    </row>
    <row r="9" spans="1:17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  <c r="O9" s="178"/>
      <c r="P9" s="178"/>
      <c r="Q9" s="178"/>
    </row>
    <row r="10" spans="1:17" ht="43.2" x14ac:dyDescent="0.3">
      <c r="A10" s="168">
        <v>10</v>
      </c>
      <c r="B10" s="168" t="s">
        <v>707</v>
      </c>
      <c r="C10" s="168" t="s">
        <v>2509</v>
      </c>
      <c r="D10" s="302">
        <v>4.2</v>
      </c>
      <c r="E10" s="168">
        <v>68</v>
      </c>
      <c r="F10" s="168" t="s">
        <v>573</v>
      </c>
      <c r="G10" s="168">
        <v>20</v>
      </c>
      <c r="H10" s="219" t="s">
        <v>573</v>
      </c>
      <c r="I10" s="269" t="s">
        <v>2627</v>
      </c>
      <c r="J10" s="227">
        <v>1.3600000000000001E-3</v>
      </c>
      <c r="K10" s="610">
        <v>1.4500000000000001E-2</v>
      </c>
      <c r="L10" s="219">
        <v>2710</v>
      </c>
      <c r="M10" s="222">
        <v>1</v>
      </c>
      <c r="N10" s="322">
        <f>IF(J10="",D10*M10,D10*J10*K10*L10*M10)</f>
        <v>0.22445304000000005</v>
      </c>
    </row>
    <row r="11" spans="1:17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0.22445304000000005</v>
      </c>
      <c r="O11" s="178"/>
      <c r="P11" s="178"/>
      <c r="Q11" s="178"/>
    </row>
    <row r="13" spans="1:17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  <c r="O13" s="178"/>
      <c r="P13" s="178"/>
      <c r="Q13" s="178"/>
    </row>
    <row r="14" spans="1:17" ht="28.8" x14ac:dyDescent="0.3">
      <c r="A14" s="184">
        <v>10</v>
      </c>
      <c r="B14" s="180" t="s">
        <v>589</v>
      </c>
      <c r="C14" s="193" t="s">
        <v>1635</v>
      </c>
      <c r="D14" s="362">
        <v>1.3</v>
      </c>
      <c r="E14" s="184" t="s">
        <v>556</v>
      </c>
      <c r="F14" s="184">
        <v>1</v>
      </c>
      <c r="G14" s="184"/>
      <c r="H14" s="184"/>
      <c r="I14" s="362">
        <f>D14</f>
        <v>1.3</v>
      </c>
    </row>
    <row r="15" spans="1:17" ht="28.8" x14ac:dyDescent="0.3">
      <c r="A15" s="184">
        <v>20</v>
      </c>
      <c r="B15" s="180" t="s">
        <v>609</v>
      </c>
      <c r="C15" s="184" t="s">
        <v>1636</v>
      </c>
      <c r="D15" s="362">
        <v>0.04</v>
      </c>
      <c r="E15" s="184" t="s">
        <v>610</v>
      </c>
      <c r="F15" s="184">
        <v>5.2</v>
      </c>
      <c r="G15" s="184" t="s">
        <v>723</v>
      </c>
      <c r="H15" s="184">
        <v>1</v>
      </c>
      <c r="I15" s="363">
        <f>F15*D15</f>
        <v>0.20800000000000002</v>
      </c>
    </row>
    <row r="16" spans="1:17" ht="28.8" x14ac:dyDescent="0.3">
      <c r="A16" s="184">
        <v>30</v>
      </c>
      <c r="B16" s="193" t="s">
        <v>1612</v>
      </c>
      <c r="C16" s="193" t="s">
        <v>2511</v>
      </c>
      <c r="D16" s="284">
        <v>0.35</v>
      </c>
      <c r="E16" s="184" t="s">
        <v>843</v>
      </c>
      <c r="F16" s="184">
        <v>2</v>
      </c>
      <c r="G16" s="184"/>
      <c r="H16" s="184"/>
      <c r="I16" s="362">
        <f>F16*D16</f>
        <v>0.7</v>
      </c>
    </row>
    <row r="17" spans="1:17" x14ac:dyDescent="0.3">
      <c r="A17" s="178"/>
      <c r="B17" s="178"/>
      <c r="C17" s="178"/>
      <c r="D17" s="178"/>
      <c r="E17" s="178"/>
      <c r="F17" s="178"/>
      <c r="G17" s="178"/>
      <c r="H17" s="752" t="s">
        <v>547</v>
      </c>
      <c r="I17" s="753">
        <f>SUM(I14:I16)</f>
        <v>2.2080000000000002</v>
      </c>
      <c r="J17" s="178"/>
      <c r="K17" s="178"/>
      <c r="L17" s="178"/>
      <c r="M17" s="178"/>
      <c r="N17" s="178"/>
      <c r="O17" s="178"/>
      <c r="P17" s="178"/>
      <c r="Q17" s="178"/>
    </row>
  </sheetData>
  <pageMargins left="0.5" right="0.5" top="0.75" bottom="0.75" header="0.3" footer="0.3"/>
  <pageSetup paperSize="9" scale="68" orientation="landscape"/>
  <headerFooter alignWithMargins="0"/>
</worksheet>
</file>

<file path=xl/worksheets/sheet2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O24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23.4414062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3.77734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5" x14ac:dyDescent="0.3">
      <c r="A1" s="747" t="s">
        <v>523</v>
      </c>
      <c r="B1" s="161" t="s">
        <v>524</v>
      </c>
      <c r="J1" s="748" t="s">
        <v>528</v>
      </c>
      <c r="K1" s="163">
        <v>81</v>
      </c>
      <c r="M1" s="747" t="s">
        <v>546</v>
      </c>
      <c r="N1" s="336">
        <f>N11+I17</f>
        <v>2.1864576000000002</v>
      </c>
    </row>
    <row r="2" spans="1:15" x14ac:dyDescent="0.3">
      <c r="A2" s="747" t="s">
        <v>532</v>
      </c>
      <c r="B2" s="161" t="s">
        <v>13</v>
      </c>
      <c r="D2" s="747" t="s">
        <v>536</v>
      </c>
      <c r="M2" s="747" t="s">
        <v>533</v>
      </c>
      <c r="N2" s="165">
        <v>2</v>
      </c>
    </row>
    <row r="3" spans="1:15" x14ac:dyDescent="0.3">
      <c r="A3" s="747" t="s">
        <v>534</v>
      </c>
      <c r="B3" s="161" t="s">
        <v>2591</v>
      </c>
      <c r="D3" s="747" t="s">
        <v>538</v>
      </c>
      <c r="J3" s="747" t="s">
        <v>536</v>
      </c>
    </row>
    <row r="4" spans="1:15" x14ac:dyDescent="0.3">
      <c r="A4" s="747" t="s">
        <v>545</v>
      </c>
      <c r="B4" s="166" t="s">
        <v>2596</v>
      </c>
      <c r="D4" s="747" t="s">
        <v>541</v>
      </c>
      <c r="J4" s="747" t="s">
        <v>538</v>
      </c>
      <c r="M4" s="747" t="s">
        <v>539</v>
      </c>
      <c r="N4" s="336">
        <f>N1*N2</f>
        <v>4.3729152000000004</v>
      </c>
    </row>
    <row r="5" spans="1:15" x14ac:dyDescent="0.3">
      <c r="A5" s="747" t="s">
        <v>537</v>
      </c>
      <c r="B5" s="166" t="s">
        <v>409</v>
      </c>
      <c r="J5" s="747" t="s">
        <v>541</v>
      </c>
    </row>
    <row r="6" spans="1:15" x14ac:dyDescent="0.3">
      <c r="A6" s="747" t="s">
        <v>540</v>
      </c>
      <c r="B6" s="161" t="s">
        <v>36</v>
      </c>
    </row>
    <row r="7" spans="1:15" x14ac:dyDescent="0.3">
      <c r="A7" s="747" t="s">
        <v>542</v>
      </c>
    </row>
    <row r="9" spans="1:15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  <c r="O9" s="178"/>
    </row>
    <row r="10" spans="1:15" ht="43.2" x14ac:dyDescent="0.3">
      <c r="A10" s="168">
        <v>10</v>
      </c>
      <c r="B10" s="184" t="s">
        <v>697</v>
      </c>
      <c r="C10" s="184" t="s">
        <v>2628</v>
      </c>
      <c r="D10" s="307">
        <v>2.25</v>
      </c>
      <c r="E10" s="184">
        <v>30</v>
      </c>
      <c r="F10" s="184" t="s">
        <v>573</v>
      </c>
      <c r="G10" s="184">
        <v>30</v>
      </c>
      <c r="H10" s="268" t="s">
        <v>573</v>
      </c>
      <c r="I10" s="269" t="s">
        <v>2629</v>
      </c>
      <c r="J10" s="274">
        <f>0.03*0.03-0.026*0.026</f>
        <v>2.2400000000000002E-4</v>
      </c>
      <c r="K10" s="303">
        <v>0.04</v>
      </c>
      <c r="L10" s="268">
        <v>7860</v>
      </c>
      <c r="M10" s="271">
        <v>1</v>
      </c>
      <c r="N10" s="363">
        <f>IF(J10="",D10*M10,D10*J10*K10*L10*M10)</f>
        <v>0.15845760000000003</v>
      </c>
    </row>
    <row r="11" spans="1:15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752" t="s">
        <v>547</v>
      </c>
      <c r="N11" s="753">
        <f>SUM(N10:N10)</f>
        <v>0.15845760000000003</v>
      </c>
      <c r="O11" s="178"/>
    </row>
    <row r="13" spans="1:15" x14ac:dyDescent="0.3">
      <c r="A13" s="749" t="s">
        <v>544</v>
      </c>
      <c r="B13" s="749" t="s">
        <v>548</v>
      </c>
      <c r="C13" s="749" t="s">
        <v>549</v>
      </c>
      <c r="D13" s="749" t="s">
        <v>550</v>
      </c>
      <c r="E13" s="749" t="s">
        <v>551</v>
      </c>
      <c r="F13" s="749" t="s">
        <v>28</v>
      </c>
      <c r="G13" s="749" t="s">
        <v>552</v>
      </c>
      <c r="H13" s="749" t="s">
        <v>553</v>
      </c>
      <c r="I13" s="749" t="s">
        <v>547</v>
      </c>
      <c r="J13" s="178"/>
      <c r="K13" s="178"/>
      <c r="L13" s="178"/>
      <c r="M13" s="178"/>
      <c r="N13" s="178"/>
      <c r="O13" s="178"/>
    </row>
    <row r="14" spans="1:15" ht="28.8" x14ac:dyDescent="0.3">
      <c r="A14" s="184">
        <v>10</v>
      </c>
      <c r="B14" s="180" t="s">
        <v>589</v>
      </c>
      <c r="C14" s="193" t="s">
        <v>1635</v>
      </c>
      <c r="D14" s="362">
        <v>1.3</v>
      </c>
      <c r="E14" s="184" t="s">
        <v>556</v>
      </c>
      <c r="F14" s="184">
        <v>1</v>
      </c>
      <c r="G14" s="184"/>
      <c r="H14" s="184"/>
      <c r="I14" s="322">
        <f>D14</f>
        <v>1.3</v>
      </c>
    </row>
    <row r="15" spans="1:15" ht="28.8" x14ac:dyDescent="0.3">
      <c r="A15" s="184">
        <v>20</v>
      </c>
      <c r="B15" s="180" t="s">
        <v>700</v>
      </c>
      <c r="C15" s="184" t="s">
        <v>1636</v>
      </c>
      <c r="D15" s="243">
        <v>0.01</v>
      </c>
      <c r="E15" s="168" t="s">
        <v>593</v>
      </c>
      <c r="F15" s="184">
        <v>12.6</v>
      </c>
      <c r="G15" s="184" t="s">
        <v>598</v>
      </c>
      <c r="H15" s="184">
        <v>3</v>
      </c>
      <c r="I15" s="322">
        <f>F15*D15*H15</f>
        <v>0.378</v>
      </c>
    </row>
    <row r="16" spans="1:15" ht="28.8" x14ac:dyDescent="0.3">
      <c r="A16" s="184">
        <v>30</v>
      </c>
      <c r="B16" s="193" t="s">
        <v>1612</v>
      </c>
      <c r="C16" s="193" t="s">
        <v>2630</v>
      </c>
      <c r="D16" s="284">
        <v>0.35</v>
      </c>
      <c r="E16" s="184" t="s">
        <v>843</v>
      </c>
      <c r="F16" s="184">
        <v>1</v>
      </c>
      <c r="G16" s="184"/>
      <c r="H16" s="184"/>
      <c r="I16" s="322">
        <f>F16*D16</f>
        <v>0.35</v>
      </c>
    </row>
    <row r="17" spans="1:15" x14ac:dyDescent="0.3">
      <c r="A17" s="178"/>
      <c r="B17" s="178"/>
      <c r="C17" s="178"/>
      <c r="D17" s="178"/>
      <c r="E17" s="178"/>
      <c r="F17" s="178"/>
      <c r="G17" s="178"/>
      <c r="H17" s="752" t="s">
        <v>547</v>
      </c>
      <c r="I17" s="753">
        <f>SUM(I14:I16)</f>
        <v>2.028</v>
      </c>
      <c r="J17" s="178"/>
      <c r="K17" s="178"/>
      <c r="L17" s="178"/>
      <c r="M17" s="178"/>
      <c r="N17" s="178"/>
      <c r="O17" s="178"/>
    </row>
    <row r="19" spans="1:15" s="178" customFormat="1" x14ac:dyDescent="0.3"/>
    <row r="21" spans="1:15" s="178" customFormat="1" x14ac:dyDescent="0.3"/>
    <row r="24" spans="1:15" s="178" customFormat="1" x14ac:dyDescent="0.3"/>
  </sheetData>
  <pageMargins left="0.5" right="0.5" top="0.75" bottom="0.75" header="0.3" footer="0.3"/>
  <pageSetup paperSize="9" scale="68" orientation="landscape"/>
  <headerFooter alignWithMargins="0"/>
</worksheet>
</file>

<file path=xl/worksheets/sheet2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N24"/>
  <sheetViews>
    <sheetView showGridLines="0" workbookViewId="0"/>
  </sheetViews>
  <sheetFormatPr defaultColWidth="11.5546875" defaultRowHeight="14.4" x14ac:dyDescent="0.3"/>
  <cols>
    <col min="2" max="2" width="23.44140625" customWidth="1"/>
    <col min="3" max="3" width="17.44140625" customWidth="1"/>
    <col min="9" max="9" width="13.109375" bestFit="1" customWidth="1"/>
    <col min="13" max="13" width="15.109375" customWidth="1"/>
  </cols>
  <sheetData>
    <row r="1" spans="1:14" x14ac:dyDescent="0.3">
      <c r="A1" s="747" t="s">
        <v>523</v>
      </c>
      <c r="B1" s="161" t="s">
        <v>524</v>
      </c>
      <c r="C1" s="161"/>
      <c r="D1" s="161"/>
      <c r="E1" s="161"/>
      <c r="F1" s="161"/>
      <c r="G1" s="161"/>
      <c r="H1" s="161"/>
      <c r="I1" s="161"/>
      <c r="J1" s="748" t="s">
        <v>528</v>
      </c>
      <c r="K1" s="163">
        <v>81</v>
      </c>
      <c r="L1" s="161"/>
      <c r="M1" s="747" t="s">
        <v>546</v>
      </c>
      <c r="N1" s="336">
        <v>6.61</v>
      </c>
    </row>
    <row r="2" spans="1:14" x14ac:dyDescent="0.3">
      <c r="A2" s="747" t="s">
        <v>532</v>
      </c>
      <c r="B2" s="161" t="s">
        <v>13</v>
      </c>
      <c r="C2" s="161"/>
      <c r="D2" s="747" t="s">
        <v>536</v>
      </c>
      <c r="E2" s="161"/>
      <c r="F2" s="161"/>
      <c r="G2" s="161"/>
      <c r="H2" s="161"/>
      <c r="I2" s="161"/>
      <c r="J2" s="161"/>
      <c r="K2" s="161"/>
      <c r="L2" s="161"/>
      <c r="M2" s="747" t="s">
        <v>533</v>
      </c>
      <c r="N2" s="165">
        <v>1</v>
      </c>
    </row>
    <row r="3" spans="1:14" x14ac:dyDescent="0.3">
      <c r="A3" s="747" t="s">
        <v>534</v>
      </c>
      <c r="B3" s="161" t="s">
        <v>363</v>
      </c>
      <c r="C3" s="161"/>
      <c r="D3" s="747" t="s">
        <v>538</v>
      </c>
      <c r="E3" s="161"/>
      <c r="F3" s="161"/>
      <c r="G3" s="161"/>
      <c r="H3" s="161"/>
      <c r="I3" s="161"/>
      <c r="J3" s="747" t="s">
        <v>536</v>
      </c>
      <c r="K3" s="161"/>
      <c r="L3" s="161"/>
      <c r="M3" s="161"/>
      <c r="N3" s="161"/>
    </row>
    <row r="4" spans="1:14" x14ac:dyDescent="0.3">
      <c r="A4" s="747" t="s">
        <v>545</v>
      </c>
      <c r="B4" s="166" t="s">
        <v>2591</v>
      </c>
      <c r="C4" s="161"/>
      <c r="D4" s="747" t="s">
        <v>541</v>
      </c>
      <c r="E4" s="161"/>
      <c r="F4" s="161"/>
      <c r="G4" s="161"/>
      <c r="H4" s="161"/>
      <c r="I4" s="161"/>
      <c r="J4" s="747" t="s">
        <v>538</v>
      </c>
      <c r="K4" s="161"/>
      <c r="L4" s="161"/>
      <c r="M4" s="747" t="s">
        <v>539</v>
      </c>
      <c r="N4" s="336">
        <f>N1*N2</f>
        <v>6.61</v>
      </c>
    </row>
    <row r="5" spans="1:14" x14ac:dyDescent="0.3">
      <c r="A5" s="747" t="s">
        <v>537</v>
      </c>
      <c r="B5" s="166" t="s">
        <v>410</v>
      </c>
      <c r="C5" s="161"/>
      <c r="D5" s="161"/>
      <c r="E5" s="161"/>
      <c r="F5" s="161"/>
      <c r="G5" s="161"/>
      <c r="H5" s="161"/>
      <c r="I5" s="161"/>
      <c r="J5" s="747" t="s">
        <v>541</v>
      </c>
      <c r="K5" s="161"/>
      <c r="L5" s="161"/>
      <c r="M5" s="161"/>
      <c r="N5" s="161"/>
    </row>
    <row r="6" spans="1:14" x14ac:dyDescent="0.3">
      <c r="A6" s="747" t="s">
        <v>540</v>
      </c>
      <c r="B6" s="161" t="s">
        <v>36</v>
      </c>
      <c r="C6" s="161"/>
      <c r="D6" s="161"/>
      <c r="E6" s="161"/>
      <c r="F6" s="161"/>
      <c r="G6" s="161"/>
      <c r="H6" s="161"/>
      <c r="I6" s="161"/>
      <c r="J6" s="161"/>
      <c r="K6" s="161"/>
      <c r="L6" s="161"/>
      <c r="M6" s="161"/>
      <c r="N6" s="161"/>
    </row>
    <row r="7" spans="1:14" x14ac:dyDescent="0.3">
      <c r="A7" s="747" t="s">
        <v>542</v>
      </c>
      <c r="B7" s="161" t="s">
        <v>2634</v>
      </c>
      <c r="C7" s="161"/>
      <c r="D7" s="161"/>
      <c r="E7" s="161"/>
      <c r="F7" s="161"/>
      <c r="G7" s="161"/>
      <c r="H7" s="161"/>
      <c r="I7" s="161"/>
      <c r="J7" s="161"/>
      <c r="K7" s="161"/>
      <c r="L7" s="161"/>
      <c r="M7" s="161"/>
      <c r="N7" s="161"/>
    </row>
    <row r="8" spans="1:14" x14ac:dyDescent="0.3">
      <c r="A8" s="161"/>
      <c r="B8" s="161"/>
      <c r="C8" s="161"/>
      <c r="D8" s="161"/>
      <c r="E8" s="161"/>
      <c r="F8" s="161"/>
      <c r="G8" s="161"/>
      <c r="H8" s="161"/>
      <c r="I8" s="161"/>
      <c r="J8" s="161"/>
      <c r="K8" s="161"/>
      <c r="L8" s="161"/>
      <c r="M8" s="161"/>
      <c r="N8" s="161"/>
    </row>
    <row r="9" spans="1:14" x14ac:dyDescent="0.3">
      <c r="A9" s="749" t="s">
        <v>544</v>
      </c>
      <c r="B9" s="749" t="s">
        <v>581</v>
      </c>
      <c r="C9" s="749" t="s">
        <v>549</v>
      </c>
      <c r="D9" s="749" t="s">
        <v>550</v>
      </c>
      <c r="E9" s="749" t="s">
        <v>567</v>
      </c>
      <c r="F9" s="749" t="s">
        <v>568</v>
      </c>
      <c r="G9" s="749" t="s">
        <v>569</v>
      </c>
      <c r="H9" s="749" t="s">
        <v>570</v>
      </c>
      <c r="I9" s="749" t="s">
        <v>582</v>
      </c>
      <c r="J9" s="749" t="s">
        <v>583</v>
      </c>
      <c r="K9" s="749" t="s">
        <v>584</v>
      </c>
      <c r="L9" s="749" t="s">
        <v>585</v>
      </c>
      <c r="M9" s="749" t="s">
        <v>28</v>
      </c>
      <c r="N9" s="749" t="s">
        <v>547</v>
      </c>
    </row>
    <row r="10" spans="1:14" ht="43.2" x14ac:dyDescent="0.3">
      <c r="A10" s="184">
        <v>10</v>
      </c>
      <c r="B10" s="791" t="s">
        <v>707</v>
      </c>
      <c r="C10" s="791" t="s">
        <v>2631</v>
      </c>
      <c r="D10" s="825">
        <v>4.2</v>
      </c>
      <c r="E10" s="184">
        <v>300</v>
      </c>
      <c r="F10" s="184" t="s">
        <v>573</v>
      </c>
      <c r="G10" s="184">
        <v>440</v>
      </c>
      <c r="H10" s="268" t="s">
        <v>573</v>
      </c>
      <c r="I10" s="269" t="s">
        <v>2632</v>
      </c>
      <c r="J10" s="274">
        <v>0.13200000000000001</v>
      </c>
      <c r="K10" s="303">
        <v>2E-3</v>
      </c>
      <c r="L10" s="268">
        <v>2710</v>
      </c>
      <c r="M10" s="271">
        <v>1</v>
      </c>
      <c r="N10" s="363">
        <f>IF(J10="",D10*M10,D10*J10*K10*L10*M10)</f>
        <v>3.004848</v>
      </c>
    </row>
    <row r="11" spans="1:14" x14ac:dyDescent="0.3">
      <c r="A11" s="184">
        <v>20</v>
      </c>
      <c r="B11" s="225" t="s">
        <v>2303</v>
      </c>
      <c r="C11" s="184" t="s">
        <v>2635</v>
      </c>
      <c r="D11" s="362">
        <v>0.05</v>
      </c>
      <c r="E11" s="184"/>
      <c r="F11" s="184"/>
      <c r="G11" s="184"/>
      <c r="H11" s="268"/>
      <c r="I11" s="269"/>
      <c r="J11" s="270"/>
      <c r="K11" s="268"/>
      <c r="L11" s="268"/>
      <c r="M11" s="271">
        <v>5</v>
      </c>
      <c r="N11" s="363">
        <f>IF(J11="",D11*M11,D11*J11*K11*L11*M11)</f>
        <v>0.25</v>
      </c>
    </row>
    <row r="12" spans="1:14" x14ac:dyDescent="0.3">
      <c r="A12" s="178"/>
      <c r="B12" s="178"/>
      <c r="C12" s="178"/>
      <c r="D12" s="178"/>
      <c r="E12" s="178"/>
      <c r="F12" s="178"/>
      <c r="G12" s="178"/>
      <c r="H12" s="178"/>
      <c r="I12" s="178"/>
      <c r="J12" s="178"/>
      <c r="K12" s="178"/>
      <c r="L12" s="178"/>
      <c r="M12" s="752" t="s">
        <v>547</v>
      </c>
      <c r="N12" s="753">
        <f>SUM(N10:N11)</f>
        <v>3.254848</v>
      </c>
    </row>
    <row r="13" spans="1:14" x14ac:dyDescent="0.3">
      <c r="A13" s="161"/>
      <c r="B13" s="161"/>
      <c r="C13" s="161"/>
      <c r="D13" s="161"/>
      <c r="E13" s="161"/>
      <c r="F13" s="161"/>
      <c r="G13" s="161"/>
      <c r="H13" s="161"/>
      <c r="I13" s="161"/>
      <c r="J13" s="161"/>
      <c r="K13" s="161"/>
      <c r="L13" s="161"/>
      <c r="M13" s="161"/>
      <c r="N13" s="161"/>
    </row>
    <row r="14" spans="1:14" x14ac:dyDescent="0.3">
      <c r="A14" s="749" t="s">
        <v>544</v>
      </c>
      <c r="B14" s="749" t="s">
        <v>548</v>
      </c>
      <c r="C14" s="749" t="s">
        <v>549</v>
      </c>
      <c r="D14" s="749" t="s">
        <v>550</v>
      </c>
      <c r="E14" s="749" t="s">
        <v>551</v>
      </c>
      <c r="F14" s="749" t="s">
        <v>28</v>
      </c>
      <c r="G14" s="749" t="s">
        <v>552</v>
      </c>
      <c r="H14" s="749" t="s">
        <v>553</v>
      </c>
      <c r="I14" s="749" t="s">
        <v>547</v>
      </c>
      <c r="J14" s="178"/>
      <c r="K14" s="178"/>
      <c r="L14" s="178"/>
      <c r="M14" s="178"/>
      <c r="N14" s="178"/>
    </row>
    <row r="15" spans="1:14" ht="28.8" x14ac:dyDescent="0.3">
      <c r="A15" s="184">
        <v>10</v>
      </c>
      <c r="B15" s="180" t="s">
        <v>589</v>
      </c>
      <c r="C15" s="193" t="s">
        <v>1635</v>
      </c>
      <c r="D15" s="362">
        <v>1.3</v>
      </c>
      <c r="E15" s="184" t="s">
        <v>556</v>
      </c>
      <c r="F15" s="184">
        <v>1</v>
      </c>
      <c r="G15" s="184"/>
      <c r="H15" s="184"/>
      <c r="I15" s="362">
        <f>D15</f>
        <v>1.3</v>
      </c>
      <c r="J15" s="161"/>
      <c r="K15" s="161"/>
      <c r="L15" s="161"/>
      <c r="M15" s="161"/>
      <c r="N15" s="161"/>
    </row>
    <row r="16" spans="1:14" ht="28.8" x14ac:dyDescent="0.3">
      <c r="A16" s="184">
        <v>20</v>
      </c>
      <c r="B16" s="180" t="s">
        <v>591</v>
      </c>
      <c r="C16" s="193" t="s">
        <v>2508</v>
      </c>
      <c r="D16" s="826">
        <v>0.01</v>
      </c>
      <c r="E16" s="184" t="s">
        <v>593</v>
      </c>
      <c r="F16" s="184">
        <v>150</v>
      </c>
      <c r="G16" s="184" t="s">
        <v>710</v>
      </c>
      <c r="H16" s="168">
        <v>1</v>
      </c>
      <c r="I16" s="362">
        <f>D16*F16</f>
        <v>1.5</v>
      </c>
      <c r="J16" s="161"/>
      <c r="K16" s="161"/>
      <c r="L16" s="161"/>
      <c r="M16" s="161"/>
      <c r="N16" s="161"/>
    </row>
    <row r="17" spans="1:14" x14ac:dyDescent="0.3">
      <c r="A17" s="184">
        <v>30</v>
      </c>
      <c r="B17" s="180" t="s">
        <v>702</v>
      </c>
      <c r="C17" s="184" t="s">
        <v>703</v>
      </c>
      <c r="D17" s="195">
        <v>0.25</v>
      </c>
      <c r="E17" s="184" t="s">
        <v>704</v>
      </c>
      <c r="F17" s="184">
        <v>1</v>
      </c>
      <c r="G17" s="184"/>
      <c r="H17" s="184"/>
      <c r="I17" s="195">
        <f>D17</f>
        <v>0.25</v>
      </c>
      <c r="J17" s="161"/>
      <c r="K17" s="161"/>
      <c r="L17" s="161"/>
      <c r="M17" s="161"/>
      <c r="N17" s="161"/>
    </row>
    <row r="18" spans="1:14" ht="28.8" x14ac:dyDescent="0.3">
      <c r="A18" s="184">
        <v>40</v>
      </c>
      <c r="B18" s="180" t="s">
        <v>557</v>
      </c>
      <c r="C18" s="180" t="s">
        <v>2636</v>
      </c>
      <c r="D18" s="284">
        <v>6.25E-2</v>
      </c>
      <c r="E18" s="180" t="s">
        <v>556</v>
      </c>
      <c r="F18" s="184">
        <v>5</v>
      </c>
      <c r="G18" s="184"/>
      <c r="H18" s="184"/>
      <c r="I18" s="362">
        <f>D18*F18</f>
        <v>0.3125</v>
      </c>
      <c r="J18" s="178"/>
      <c r="K18" s="178"/>
      <c r="L18" s="178"/>
      <c r="M18" s="178"/>
      <c r="N18" s="178"/>
    </row>
    <row r="19" spans="1:14" x14ac:dyDescent="0.3">
      <c r="A19" s="178"/>
      <c r="B19" s="178"/>
      <c r="C19" s="178"/>
      <c r="D19" s="178"/>
      <c r="E19" s="178"/>
      <c r="F19" s="178"/>
      <c r="G19" s="178"/>
      <c r="H19" s="752" t="s">
        <v>547</v>
      </c>
      <c r="I19" s="753">
        <f>SUM(I15:I18)</f>
        <v>3.3624999999999998</v>
      </c>
    </row>
    <row r="20" spans="1:14" x14ac:dyDescent="0.3">
      <c r="G20" s="153"/>
      <c r="H20" s="153"/>
      <c r="I20" s="153"/>
    </row>
    <row r="21" spans="1:14" x14ac:dyDescent="0.3">
      <c r="A21" s="147"/>
      <c r="B21" s="147"/>
      <c r="C21" s="147"/>
      <c r="D21" s="147"/>
      <c r="E21" s="147"/>
      <c r="F21" s="147"/>
      <c r="G21" s="152"/>
      <c r="H21" s="152"/>
      <c r="I21" s="152"/>
    </row>
    <row r="22" spans="1:14" x14ac:dyDescent="0.3">
      <c r="A22" s="147"/>
      <c r="B22" s="147"/>
      <c r="C22" s="147"/>
      <c r="D22" s="147"/>
      <c r="E22" s="147"/>
      <c r="F22" s="147"/>
      <c r="G22" s="152"/>
      <c r="H22" s="152"/>
      <c r="I22" s="152"/>
    </row>
    <row r="23" spans="1:14" x14ac:dyDescent="0.3">
      <c r="A23" s="147"/>
      <c r="B23" s="147"/>
      <c r="C23" s="147"/>
      <c r="D23" s="147"/>
      <c r="E23" s="147"/>
      <c r="F23" s="147"/>
      <c r="G23" s="147"/>
      <c r="H23" s="147"/>
      <c r="I23" s="147"/>
    </row>
    <row r="24" spans="1:14" x14ac:dyDescent="0.3">
      <c r="A24" s="289"/>
      <c r="B24" s="289"/>
      <c r="C24" s="633"/>
      <c r="D24" s="289"/>
      <c r="E24" s="161"/>
      <c r="F24" s="161"/>
      <c r="G24" s="161"/>
      <c r="H24" s="353"/>
      <c r="I24" s="147"/>
    </row>
  </sheetData>
  <pageMargins left="0.78740157499999996" right="0.78740157499999996" top="0.984251969" bottom="0.984251969" header="0.5" footer="0.5"/>
  <pageSetup paperSize="9" scale="68" fitToHeight="0" orientation="landscape"/>
  <headerFooter alignWithMargins="0"/>
</worksheet>
</file>

<file path=xl/worksheets/sheet2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0000"/>
  </sheetPr>
  <dimension ref="A1"/>
  <sheetViews>
    <sheetView showGridLines="0" zoomScaleNormal="100" workbookViewId="0">
      <selection activeCell="B27" sqref="B27"/>
    </sheetView>
  </sheetViews>
  <sheetFormatPr defaultColWidth="11.5546875" defaultRowHeight="14.4" x14ac:dyDescent="0.3"/>
  <sheetData/>
  <pageMargins left="0.7" right="0.7" top="0.75" bottom="0.75" header="0.3" footer="0.3"/>
  <pageSetup paperSize="9" orientation="portrait" r:id="rId1"/>
  <drawing r:id="rId2"/>
</worksheet>
</file>

<file path=xl/worksheets/sheet2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N56"/>
  <sheetViews>
    <sheetView showGridLines="0" workbookViewId="0"/>
  </sheetViews>
  <sheetFormatPr defaultColWidth="9.109375" defaultRowHeight="14.4" x14ac:dyDescent="0.3"/>
  <cols>
    <col min="1" max="1" width="14.77734375" style="311" customWidth="1"/>
    <col min="2" max="2" width="28.33203125" style="311" customWidth="1"/>
    <col min="3" max="3" width="26.6640625" style="311" customWidth="1"/>
    <col min="4" max="4" width="12.88671875" style="311" customWidth="1"/>
    <col min="5" max="5" width="15.77734375" style="311" customWidth="1"/>
    <col min="6" max="6" width="15.21875" style="311" customWidth="1"/>
    <col min="7" max="7" width="10.44140625" style="311" bestFit="1" customWidth="1"/>
    <col min="8" max="8" width="15.88671875" style="311" customWidth="1"/>
    <col min="9" max="9" width="20.33203125" style="311" customWidth="1"/>
    <col min="10" max="10" width="14.77734375" style="311" customWidth="1"/>
    <col min="11" max="11" width="7.6640625" style="311" customWidth="1"/>
    <col min="12" max="12" width="9.88671875" style="311" customWidth="1"/>
    <col min="13" max="13" width="14.33203125" style="311" customWidth="1"/>
    <col min="14" max="14" width="11.6640625" style="311" customWidth="1"/>
    <col min="15" max="16384" width="9.109375" style="311"/>
  </cols>
  <sheetData>
    <row r="1" spans="1:14" x14ac:dyDescent="0.3">
      <c r="A1" s="832" t="s">
        <v>523</v>
      </c>
      <c r="B1" s="311" t="s">
        <v>524</v>
      </c>
      <c r="J1" s="832" t="s">
        <v>528</v>
      </c>
      <c r="K1" s="163">
        <v>81</v>
      </c>
      <c r="M1" s="832" t="s">
        <v>531</v>
      </c>
      <c r="N1" s="424">
        <f>E14+N22+I38+J44+I48</f>
        <v>82.95866246376751</v>
      </c>
    </row>
    <row r="2" spans="1:14" x14ac:dyDescent="0.3">
      <c r="A2" s="832" t="s">
        <v>532</v>
      </c>
      <c r="B2" s="311" t="s">
        <v>411</v>
      </c>
      <c r="M2" s="832" t="s">
        <v>533</v>
      </c>
      <c r="N2" s="425">
        <v>2</v>
      </c>
    </row>
    <row r="3" spans="1:14" x14ac:dyDescent="0.3">
      <c r="A3" s="832" t="s">
        <v>534</v>
      </c>
      <c r="B3" s="311" t="s">
        <v>413</v>
      </c>
      <c r="J3" s="832" t="s">
        <v>536</v>
      </c>
    </row>
    <row r="4" spans="1:14" x14ac:dyDescent="0.3">
      <c r="A4" s="832" t="s">
        <v>537</v>
      </c>
      <c r="B4" s="166" t="s">
        <v>412</v>
      </c>
      <c r="J4" s="832" t="s">
        <v>538</v>
      </c>
      <c r="M4" s="832" t="s">
        <v>539</v>
      </c>
      <c r="N4" s="424">
        <f>N1*N2</f>
        <v>165.91732492753502</v>
      </c>
    </row>
    <row r="5" spans="1:14" x14ac:dyDescent="0.3">
      <c r="A5" s="832" t="s">
        <v>540</v>
      </c>
      <c r="B5" s="311" t="s">
        <v>36</v>
      </c>
      <c r="J5" s="832" t="s">
        <v>541</v>
      </c>
    </row>
    <row r="6" spans="1:14" x14ac:dyDescent="0.3">
      <c r="A6" s="832" t="s">
        <v>542</v>
      </c>
      <c r="B6" s="311" t="s">
        <v>2639</v>
      </c>
    </row>
    <row r="8" spans="1:14" x14ac:dyDescent="0.3">
      <c r="A8" s="833" t="s">
        <v>544</v>
      </c>
      <c r="B8" s="833" t="s">
        <v>545</v>
      </c>
      <c r="C8" s="833" t="s">
        <v>546</v>
      </c>
      <c r="D8" s="833" t="s">
        <v>28</v>
      </c>
      <c r="E8" s="833" t="s">
        <v>547</v>
      </c>
    </row>
    <row r="9" spans="1:14" x14ac:dyDescent="0.3">
      <c r="A9" s="183">
        <v>10</v>
      </c>
      <c r="B9" s="183" t="s">
        <v>415</v>
      </c>
      <c r="C9" s="241">
        <f>'SU 01001'!N1</f>
        <v>8.6960713999999992</v>
      </c>
      <c r="D9" s="183">
        <v>2</v>
      </c>
      <c r="E9" s="385">
        <f>C9*D9</f>
        <v>17.392142799999998</v>
      </c>
    </row>
    <row r="10" spans="1:14" x14ac:dyDescent="0.3">
      <c r="A10" s="183">
        <v>20</v>
      </c>
      <c r="B10" s="183" t="s">
        <v>417</v>
      </c>
      <c r="C10" s="241">
        <f>'SU 01002'!N1</f>
        <v>3.1523818481530936</v>
      </c>
      <c r="D10" s="183">
        <v>4</v>
      </c>
      <c r="E10" s="385">
        <f>C10*D10</f>
        <v>12.609527392612375</v>
      </c>
    </row>
    <row r="11" spans="1:14" x14ac:dyDescent="0.3">
      <c r="A11" s="183">
        <v>30</v>
      </c>
      <c r="B11" s="183" t="s">
        <v>2640</v>
      </c>
      <c r="C11" s="241">
        <f>'SU 01003'!N1</f>
        <v>2.1118244800000001</v>
      </c>
      <c r="D11" s="183">
        <v>2</v>
      </c>
      <c r="E11" s="385">
        <f>C11*D11</f>
        <v>4.2236489600000002</v>
      </c>
    </row>
    <row r="12" spans="1:14" ht="28.8" x14ac:dyDescent="0.3">
      <c r="A12" s="183">
        <v>40</v>
      </c>
      <c r="B12" s="184" t="s">
        <v>2641</v>
      </c>
      <c r="C12" s="241">
        <f>'SU 01004'!N1</f>
        <v>2.2411917099999998</v>
      </c>
      <c r="D12" s="183">
        <v>1</v>
      </c>
      <c r="E12" s="385">
        <f>C12*D12</f>
        <v>2.2411917099999998</v>
      </c>
    </row>
    <row r="13" spans="1:14" x14ac:dyDescent="0.3">
      <c r="A13" s="183">
        <v>50</v>
      </c>
      <c r="B13" s="183" t="s">
        <v>78</v>
      </c>
      <c r="C13" s="241">
        <f>'SU 01005'!N1</f>
        <v>0.19698183107117939</v>
      </c>
      <c r="D13" s="183">
        <v>4</v>
      </c>
      <c r="E13" s="385">
        <f>C13*D13</f>
        <v>0.78792732428471757</v>
      </c>
    </row>
    <row r="14" spans="1:14" x14ac:dyDescent="0.3">
      <c r="D14" s="834" t="s">
        <v>547</v>
      </c>
      <c r="E14" s="835">
        <f>SUM(E9:E13)</f>
        <v>37.25443818689709</v>
      </c>
    </row>
    <row r="16" spans="1:14" x14ac:dyDescent="0.3">
      <c r="A16" s="833" t="s">
        <v>544</v>
      </c>
      <c r="B16" s="833" t="s">
        <v>581</v>
      </c>
      <c r="C16" s="833" t="s">
        <v>549</v>
      </c>
      <c r="D16" s="833" t="s">
        <v>550</v>
      </c>
      <c r="E16" s="833" t="s">
        <v>567</v>
      </c>
      <c r="F16" s="833" t="s">
        <v>568</v>
      </c>
      <c r="G16" s="833" t="s">
        <v>569</v>
      </c>
      <c r="H16" s="833" t="s">
        <v>570</v>
      </c>
      <c r="I16" s="833" t="s">
        <v>582</v>
      </c>
      <c r="J16" s="833" t="s">
        <v>583</v>
      </c>
      <c r="K16" s="833" t="s">
        <v>584</v>
      </c>
      <c r="L16" s="833" t="s">
        <v>585</v>
      </c>
      <c r="M16" s="833" t="s">
        <v>28</v>
      </c>
      <c r="N16" s="833" t="s">
        <v>547</v>
      </c>
    </row>
    <row r="17" spans="1:14" x14ac:dyDescent="0.3">
      <c r="A17" s="183">
        <v>10</v>
      </c>
      <c r="B17" s="190" t="s">
        <v>2642</v>
      </c>
      <c r="C17" s="183" t="s">
        <v>2643</v>
      </c>
      <c r="D17" s="241">
        <v>2.25</v>
      </c>
      <c r="E17" s="183">
        <v>1.4999999999999999E-2</v>
      </c>
      <c r="F17" s="183" t="s">
        <v>644</v>
      </c>
      <c r="G17" s="183">
        <v>1.2999999999999999E-2</v>
      </c>
      <c r="H17" s="204" t="s">
        <v>644</v>
      </c>
      <c r="I17" s="269" t="s">
        <v>2644</v>
      </c>
      <c r="J17" s="206">
        <f>(E17*E17-G17*G17)*PI()/4</f>
        <v>4.3982297150257112E-5</v>
      </c>
      <c r="K17" s="204">
        <v>0.311</v>
      </c>
      <c r="L17" s="713">
        <v>7860</v>
      </c>
      <c r="M17" s="183">
        <v>1</v>
      </c>
      <c r="N17" s="385">
        <f>IF(J17="",D17*M17,D17*J17*K17*L17*M17)</f>
        <v>0.24190417370681438</v>
      </c>
    </row>
    <row r="18" spans="1:14" x14ac:dyDescent="0.3">
      <c r="A18" s="183">
        <v>20</v>
      </c>
      <c r="B18" s="190" t="s">
        <v>2642</v>
      </c>
      <c r="C18" s="183" t="s">
        <v>2645</v>
      </c>
      <c r="D18" s="241">
        <v>2.25</v>
      </c>
      <c r="E18" s="183">
        <v>1.4999999999999999E-2</v>
      </c>
      <c r="F18" s="183" t="s">
        <v>644</v>
      </c>
      <c r="G18" s="183">
        <v>1.2999999999999999E-2</v>
      </c>
      <c r="H18" s="204" t="s">
        <v>644</v>
      </c>
      <c r="I18" s="269" t="s">
        <v>2644</v>
      </c>
      <c r="J18" s="206">
        <f>(E18*E18-G18*G18)*PI()/4</f>
        <v>4.3982297150257112E-5</v>
      </c>
      <c r="K18" s="207">
        <v>0.29599999999999999</v>
      </c>
      <c r="L18" s="713">
        <v>7860</v>
      </c>
      <c r="M18" s="183">
        <v>1</v>
      </c>
      <c r="N18" s="385">
        <f>IF(J18="",D18*M18,D18*J18*K18*L18*M18)</f>
        <v>0.23023676983027991</v>
      </c>
    </row>
    <row r="19" spans="1:14" ht="13.8" customHeight="1" x14ac:dyDescent="0.3">
      <c r="A19" s="183">
        <v>30</v>
      </c>
      <c r="B19" s="190" t="s">
        <v>2646</v>
      </c>
      <c r="C19" s="494" t="s">
        <v>2647</v>
      </c>
      <c r="D19" s="241">
        <v>6.92</v>
      </c>
      <c r="E19" s="183">
        <v>8</v>
      </c>
      <c r="F19" s="183" t="s">
        <v>573</v>
      </c>
      <c r="G19" s="183"/>
      <c r="H19" s="204"/>
      <c r="I19" s="205"/>
      <c r="J19" s="430"/>
      <c r="K19" s="204"/>
      <c r="L19" s="204"/>
      <c r="M19" s="183">
        <v>3</v>
      </c>
      <c r="N19" s="385">
        <f>IF(J19="",D19*M19,D19*J19*K19*L19*M19)</f>
        <v>20.759999999999998</v>
      </c>
    </row>
    <row r="20" spans="1:14" ht="15" customHeight="1" x14ac:dyDescent="0.3">
      <c r="A20" s="183">
        <v>40</v>
      </c>
      <c r="B20" s="190" t="s">
        <v>625</v>
      </c>
      <c r="C20" s="494" t="s">
        <v>2648</v>
      </c>
      <c r="D20" s="241">
        <v>10</v>
      </c>
      <c r="E20" s="183">
        <f>F26+F33</f>
        <v>0.13500000000000001</v>
      </c>
      <c r="F20" s="183" t="s">
        <v>627</v>
      </c>
      <c r="G20" s="183"/>
      <c r="H20" s="204"/>
      <c r="I20" s="205"/>
      <c r="J20" s="430"/>
      <c r="K20" s="204"/>
      <c r="L20" s="204"/>
      <c r="M20" s="183">
        <v>0.15</v>
      </c>
      <c r="N20" s="385">
        <f>IF(J20="",D20*M20,D20*J20*K20*L20*M20)</f>
        <v>1.5</v>
      </c>
    </row>
    <row r="21" spans="1:14" ht="28.2" customHeight="1" x14ac:dyDescent="0.3">
      <c r="A21" s="183">
        <v>50</v>
      </c>
      <c r="B21" s="190" t="s">
        <v>1024</v>
      </c>
      <c r="C21" s="494" t="s">
        <v>2649</v>
      </c>
      <c r="D21" s="241">
        <v>0</v>
      </c>
      <c r="E21" s="183"/>
      <c r="F21" s="183"/>
      <c r="G21" s="183"/>
      <c r="H21" s="204"/>
      <c r="I21" s="205"/>
      <c r="J21" s="430"/>
      <c r="K21" s="204"/>
      <c r="L21" s="204"/>
      <c r="M21" s="183"/>
      <c r="N21" s="385">
        <f>IF(J21="",D21*M21,D21*J21*K21*L21*M21)</f>
        <v>0</v>
      </c>
    </row>
    <row r="22" spans="1:14" ht="16.8" customHeight="1" x14ac:dyDescent="0.3">
      <c r="A22" s="432"/>
      <c r="B22" s="432"/>
      <c r="C22" s="432"/>
      <c r="D22" s="432"/>
      <c r="E22" s="432"/>
      <c r="F22" s="432"/>
      <c r="G22" s="432"/>
      <c r="H22" s="432"/>
      <c r="I22" s="432"/>
      <c r="J22" s="432"/>
      <c r="K22" s="432"/>
      <c r="L22" s="432"/>
      <c r="M22" s="834" t="s">
        <v>547</v>
      </c>
      <c r="N22" s="835">
        <f>SUM(N17:N20)</f>
        <v>22.732140943537093</v>
      </c>
    </row>
    <row r="24" spans="1:14" x14ac:dyDescent="0.3">
      <c r="A24" s="833" t="s">
        <v>544</v>
      </c>
      <c r="B24" s="833" t="s">
        <v>548</v>
      </c>
      <c r="C24" s="833" t="s">
        <v>549</v>
      </c>
      <c r="D24" s="833" t="s">
        <v>550</v>
      </c>
      <c r="E24" s="833" t="s">
        <v>551</v>
      </c>
      <c r="F24" s="833" t="s">
        <v>28</v>
      </c>
      <c r="G24" s="833" t="s">
        <v>552</v>
      </c>
      <c r="H24" s="833" t="s">
        <v>553</v>
      </c>
      <c r="I24" s="833" t="s">
        <v>547</v>
      </c>
      <c r="J24" s="432"/>
      <c r="K24" s="432"/>
      <c r="L24" s="432"/>
      <c r="M24" s="432"/>
      <c r="N24" s="432"/>
    </row>
    <row r="25" spans="1:14" x14ac:dyDescent="0.3">
      <c r="A25" s="183">
        <v>10</v>
      </c>
      <c r="B25" s="180" t="s">
        <v>650</v>
      </c>
      <c r="C25" s="184" t="s">
        <v>2650</v>
      </c>
      <c r="D25" s="183">
        <v>0.15</v>
      </c>
      <c r="E25" s="183" t="s">
        <v>593</v>
      </c>
      <c r="F25" s="183">
        <v>22</v>
      </c>
      <c r="G25" s="183"/>
      <c r="H25" s="183"/>
      <c r="I25" s="241">
        <f>D25*F25</f>
        <v>3.3</v>
      </c>
    </row>
    <row r="26" spans="1:14" x14ac:dyDescent="0.3">
      <c r="A26" s="183">
        <v>20</v>
      </c>
      <c r="B26" s="180" t="s">
        <v>653</v>
      </c>
      <c r="C26" s="193" t="s">
        <v>1731</v>
      </c>
      <c r="D26" s="241">
        <v>5.25</v>
      </c>
      <c r="E26" s="183" t="s">
        <v>627</v>
      </c>
      <c r="F26" s="183">
        <v>1.4999999999999999E-2</v>
      </c>
      <c r="G26" s="183"/>
      <c r="H26" s="183"/>
      <c r="I26" s="241">
        <f t="shared" ref="I26:I37" si="0">D26*F26</f>
        <v>7.8750000000000001E-2</v>
      </c>
    </row>
    <row r="27" spans="1:14" ht="28.8" x14ac:dyDescent="0.3">
      <c r="A27" s="183">
        <v>30</v>
      </c>
      <c r="B27" s="180" t="s">
        <v>650</v>
      </c>
      <c r="C27" s="193" t="s">
        <v>2651</v>
      </c>
      <c r="D27" s="241">
        <v>0.15</v>
      </c>
      <c r="E27" s="183" t="s">
        <v>593</v>
      </c>
      <c r="F27" s="183">
        <v>6</v>
      </c>
      <c r="G27" s="183"/>
      <c r="H27" s="183"/>
      <c r="I27" s="241">
        <f t="shared" si="0"/>
        <v>0.89999999999999991</v>
      </c>
    </row>
    <row r="28" spans="1:14" x14ac:dyDescent="0.3">
      <c r="A28" s="183">
        <v>40</v>
      </c>
      <c r="B28" s="180" t="s">
        <v>2652</v>
      </c>
      <c r="C28" s="183" t="s">
        <v>2643</v>
      </c>
      <c r="D28" s="241">
        <v>0.15</v>
      </c>
      <c r="E28" s="183" t="s">
        <v>593</v>
      </c>
      <c r="F28" s="183">
        <v>1.5</v>
      </c>
      <c r="G28" s="183"/>
      <c r="H28" s="183"/>
      <c r="I28" s="241">
        <f t="shared" si="0"/>
        <v>0.22499999999999998</v>
      </c>
    </row>
    <row r="29" spans="1:14" x14ac:dyDescent="0.3">
      <c r="A29" s="183">
        <v>50</v>
      </c>
      <c r="B29" s="180" t="s">
        <v>2652</v>
      </c>
      <c r="C29" s="183" t="s">
        <v>2645</v>
      </c>
      <c r="D29" s="241">
        <v>0.15</v>
      </c>
      <c r="E29" s="183" t="s">
        <v>593</v>
      </c>
      <c r="F29" s="183">
        <v>1.5</v>
      </c>
      <c r="G29" s="183"/>
      <c r="H29" s="183"/>
      <c r="I29" s="241">
        <f t="shared" si="0"/>
        <v>0.22499999999999998</v>
      </c>
    </row>
    <row r="30" spans="1:14" ht="28.8" x14ac:dyDescent="0.3">
      <c r="A30" s="183">
        <v>60</v>
      </c>
      <c r="B30" s="180" t="s">
        <v>650</v>
      </c>
      <c r="C30" s="193" t="s">
        <v>2653</v>
      </c>
      <c r="D30" s="241">
        <v>0.15</v>
      </c>
      <c r="E30" s="183" t="s">
        <v>593</v>
      </c>
      <c r="F30" s="183">
        <v>18</v>
      </c>
      <c r="G30" s="183"/>
      <c r="H30" s="183"/>
      <c r="I30" s="241">
        <f t="shared" si="0"/>
        <v>2.6999999999999997</v>
      </c>
    </row>
    <row r="31" spans="1:14" ht="28.8" x14ac:dyDescent="0.3">
      <c r="A31" s="183">
        <v>70</v>
      </c>
      <c r="B31" s="180" t="s">
        <v>2654</v>
      </c>
      <c r="C31" s="193" t="s">
        <v>2655</v>
      </c>
      <c r="D31" s="241">
        <v>0.02</v>
      </c>
      <c r="E31" s="183" t="s">
        <v>852</v>
      </c>
      <c r="F31" s="183">
        <v>20</v>
      </c>
      <c r="G31" s="183"/>
      <c r="H31" s="183"/>
      <c r="I31" s="241">
        <f t="shared" si="0"/>
        <v>0.4</v>
      </c>
    </row>
    <row r="32" spans="1:14" ht="28.8" x14ac:dyDescent="0.3">
      <c r="A32" s="183">
        <v>80</v>
      </c>
      <c r="B32" s="180" t="s">
        <v>2656</v>
      </c>
      <c r="C32" s="193" t="s">
        <v>2657</v>
      </c>
      <c r="D32" s="241">
        <v>0.19</v>
      </c>
      <c r="E32" s="183"/>
      <c r="F32" s="183">
        <v>3</v>
      </c>
      <c r="G32" s="183"/>
      <c r="H32" s="183"/>
      <c r="I32" s="241">
        <f t="shared" si="0"/>
        <v>0.57000000000000006</v>
      </c>
    </row>
    <row r="33" spans="1:14" x14ac:dyDescent="0.3">
      <c r="A33" s="183">
        <v>90</v>
      </c>
      <c r="B33" s="180" t="s">
        <v>653</v>
      </c>
      <c r="C33" s="193" t="s">
        <v>2658</v>
      </c>
      <c r="D33" s="241">
        <v>5.25</v>
      </c>
      <c r="E33" s="183" t="s">
        <v>627</v>
      </c>
      <c r="F33" s="183">
        <v>0.12</v>
      </c>
      <c r="G33" s="183"/>
      <c r="H33" s="183"/>
      <c r="I33" s="241">
        <f t="shared" si="0"/>
        <v>0.63</v>
      </c>
    </row>
    <row r="34" spans="1:14" ht="28.8" x14ac:dyDescent="0.3">
      <c r="A34" s="183">
        <v>100</v>
      </c>
      <c r="B34" s="180" t="s">
        <v>2344</v>
      </c>
      <c r="C34" s="193" t="s">
        <v>2659</v>
      </c>
      <c r="D34" s="241">
        <v>0.19</v>
      </c>
      <c r="E34" s="183"/>
      <c r="F34" s="183">
        <v>1</v>
      </c>
      <c r="G34" s="183"/>
      <c r="H34" s="183"/>
      <c r="I34" s="241">
        <f t="shared" si="0"/>
        <v>0.19</v>
      </c>
    </row>
    <row r="35" spans="1:14" s="432" customFormat="1" x14ac:dyDescent="0.3">
      <c r="A35" s="183">
        <v>110</v>
      </c>
      <c r="B35" s="180" t="s">
        <v>1912</v>
      </c>
      <c r="C35" s="193" t="s">
        <v>2660</v>
      </c>
      <c r="D35" s="241">
        <v>0.13</v>
      </c>
      <c r="E35" s="183"/>
      <c r="F35" s="183">
        <v>4</v>
      </c>
      <c r="G35" s="183"/>
      <c r="H35" s="183"/>
      <c r="I35" s="241">
        <f t="shared" si="0"/>
        <v>0.52</v>
      </c>
      <c r="J35" s="311"/>
      <c r="K35" s="311"/>
      <c r="L35" s="311"/>
      <c r="M35" s="311"/>
      <c r="N35" s="311"/>
    </row>
    <row r="36" spans="1:14" s="432" customFormat="1" x14ac:dyDescent="0.3">
      <c r="A36" s="183">
        <v>120</v>
      </c>
      <c r="B36" s="180" t="s">
        <v>2661</v>
      </c>
      <c r="C36" s="193" t="s">
        <v>1851</v>
      </c>
      <c r="D36" s="241">
        <v>1</v>
      </c>
      <c r="E36" s="183"/>
      <c r="F36" s="183">
        <v>2</v>
      </c>
      <c r="G36" s="183"/>
      <c r="H36" s="183"/>
      <c r="I36" s="241">
        <f t="shared" si="0"/>
        <v>2</v>
      </c>
      <c r="J36" s="311"/>
      <c r="K36" s="311"/>
      <c r="L36" s="311"/>
      <c r="M36" s="311"/>
      <c r="N36" s="311"/>
    </row>
    <row r="37" spans="1:14" s="432" customFormat="1" x14ac:dyDescent="0.3">
      <c r="A37" s="183">
        <v>130</v>
      </c>
      <c r="B37" s="180" t="s">
        <v>2662</v>
      </c>
      <c r="C37" s="193" t="s">
        <v>2663</v>
      </c>
      <c r="D37" s="241">
        <v>0.25</v>
      </c>
      <c r="E37" s="183"/>
      <c r="F37" s="183">
        <v>2</v>
      </c>
      <c r="G37" s="183"/>
      <c r="H37" s="183"/>
      <c r="I37" s="241">
        <f t="shared" si="0"/>
        <v>0.5</v>
      </c>
      <c r="J37" s="311"/>
      <c r="K37" s="311"/>
      <c r="L37" s="311"/>
      <c r="M37" s="311"/>
      <c r="N37" s="311"/>
    </row>
    <row r="38" spans="1:14" x14ac:dyDescent="0.3">
      <c r="A38" s="432"/>
      <c r="B38" s="432"/>
      <c r="C38" s="432"/>
      <c r="D38" s="432"/>
      <c r="E38" s="432"/>
      <c r="F38" s="432"/>
      <c r="G38" s="432"/>
      <c r="H38" s="836" t="s">
        <v>547</v>
      </c>
      <c r="I38" s="835">
        <f>SUM(I25:I37)</f>
        <v>12.23875</v>
      </c>
      <c r="K38" s="432"/>
      <c r="L38" s="432"/>
      <c r="M38" s="432"/>
      <c r="N38" s="432"/>
    </row>
    <row r="40" spans="1:14" x14ac:dyDescent="0.3">
      <c r="A40" s="833" t="s">
        <v>544</v>
      </c>
      <c r="B40" s="833" t="s">
        <v>566</v>
      </c>
      <c r="C40" s="833" t="s">
        <v>549</v>
      </c>
      <c r="D40" s="833" t="s">
        <v>550</v>
      </c>
      <c r="E40" s="833" t="s">
        <v>567</v>
      </c>
      <c r="F40" s="833" t="s">
        <v>568</v>
      </c>
      <c r="G40" s="833" t="s">
        <v>569</v>
      </c>
      <c r="H40" s="833" t="s">
        <v>570</v>
      </c>
      <c r="I40" s="833" t="s">
        <v>28</v>
      </c>
      <c r="J40" s="833" t="s">
        <v>547</v>
      </c>
      <c r="K40" s="432"/>
      <c r="L40" s="432"/>
      <c r="M40" s="432"/>
      <c r="N40" s="432"/>
    </row>
    <row r="41" spans="1:14" x14ac:dyDescent="0.3">
      <c r="A41" s="183">
        <v>10</v>
      </c>
      <c r="B41" s="190" t="s">
        <v>1375</v>
      </c>
      <c r="C41" s="183" t="s">
        <v>2664</v>
      </c>
      <c r="D41" s="183">
        <v>0.28999999999999998</v>
      </c>
      <c r="E41" s="183">
        <v>8</v>
      </c>
      <c r="F41" s="437" t="s">
        <v>573</v>
      </c>
      <c r="G41" s="183">
        <v>45</v>
      </c>
      <c r="H41" s="414" t="s">
        <v>573</v>
      </c>
      <c r="I41" s="438">
        <v>4</v>
      </c>
      <c r="J41" s="241">
        <f>D41*I41</f>
        <v>1.1599999999999999</v>
      </c>
    </row>
    <row r="42" spans="1:14" x14ac:dyDescent="0.3">
      <c r="A42" s="183">
        <v>20</v>
      </c>
      <c r="B42" s="629" t="s">
        <v>618</v>
      </c>
      <c r="C42" s="183" t="s">
        <v>2665</v>
      </c>
      <c r="D42" s="183">
        <v>0.04</v>
      </c>
      <c r="E42" s="183">
        <v>8</v>
      </c>
      <c r="F42" s="437" t="s">
        <v>573</v>
      </c>
      <c r="G42" s="183"/>
      <c r="H42" s="414"/>
      <c r="I42" s="438">
        <v>4</v>
      </c>
      <c r="J42" s="241">
        <f>D42*I42</f>
        <v>0.16</v>
      </c>
    </row>
    <row r="43" spans="1:14" x14ac:dyDescent="0.3">
      <c r="A43" s="183">
        <v>30</v>
      </c>
      <c r="B43" s="629" t="s">
        <v>574</v>
      </c>
      <c r="C43" s="183" t="s">
        <v>2666</v>
      </c>
      <c r="D43" s="183">
        <v>0.01</v>
      </c>
      <c r="E43" s="183">
        <v>8</v>
      </c>
      <c r="F43" s="437" t="s">
        <v>573</v>
      </c>
      <c r="G43" s="183"/>
      <c r="H43" s="414"/>
      <c r="I43" s="438">
        <v>8</v>
      </c>
      <c r="J43" s="241">
        <f>D43*I43</f>
        <v>0.08</v>
      </c>
    </row>
    <row r="44" spans="1:14" ht="15.6" customHeight="1" x14ac:dyDescent="0.3">
      <c r="A44" s="432"/>
      <c r="B44" s="432"/>
      <c r="C44" s="432"/>
      <c r="D44" s="432"/>
      <c r="E44" s="432"/>
      <c r="F44" s="432"/>
      <c r="G44" s="432"/>
      <c r="H44" s="432"/>
      <c r="I44" s="834" t="s">
        <v>547</v>
      </c>
      <c r="J44" s="835">
        <f>SUM(J41:J43)</f>
        <v>1.4</v>
      </c>
      <c r="K44" s="432"/>
      <c r="L44" s="432"/>
      <c r="M44" s="432"/>
      <c r="N44" s="432"/>
    </row>
    <row r="45" spans="1:14" ht="25.2" customHeight="1" x14ac:dyDescent="0.3">
      <c r="H45" s="326"/>
      <c r="I45" s="447"/>
    </row>
    <row r="46" spans="1:14" ht="13.2" customHeight="1" x14ac:dyDescent="0.3">
      <c r="A46" s="833" t="s">
        <v>544</v>
      </c>
      <c r="B46" s="833" t="s">
        <v>6</v>
      </c>
      <c r="C46" s="833" t="s">
        <v>549</v>
      </c>
      <c r="D46" s="833" t="s">
        <v>550</v>
      </c>
      <c r="E46" s="833" t="s">
        <v>551</v>
      </c>
      <c r="F46" s="833" t="s">
        <v>28</v>
      </c>
      <c r="G46" s="833" t="s">
        <v>691</v>
      </c>
      <c r="H46" s="833" t="s">
        <v>736</v>
      </c>
      <c r="I46" s="833" t="s">
        <v>547</v>
      </c>
      <c r="J46" s="432"/>
      <c r="K46" s="432"/>
      <c r="L46" s="432"/>
      <c r="M46" s="432"/>
      <c r="N46" s="432"/>
    </row>
    <row r="47" spans="1:14" ht="17.399999999999999" customHeight="1" x14ac:dyDescent="0.3">
      <c r="A47" s="183">
        <v>10</v>
      </c>
      <c r="B47" s="217" t="s">
        <v>693</v>
      </c>
      <c r="C47" s="183" t="s">
        <v>2667</v>
      </c>
      <c r="D47" s="241">
        <v>500</v>
      </c>
      <c r="E47" s="183" t="s">
        <v>695</v>
      </c>
      <c r="F47" s="183">
        <v>56</v>
      </c>
      <c r="G47" s="183">
        <v>3000</v>
      </c>
      <c r="H47" s="183">
        <v>1</v>
      </c>
      <c r="I47" s="385">
        <f>D47*F47/G47*H47</f>
        <v>9.3333333333333339</v>
      </c>
    </row>
    <row r="48" spans="1:14" x14ac:dyDescent="0.3">
      <c r="A48" s="432"/>
      <c r="B48" s="432"/>
      <c r="C48" s="432"/>
      <c r="D48" s="432"/>
      <c r="E48" s="432"/>
      <c r="F48" s="432"/>
      <c r="G48" s="432"/>
      <c r="H48" s="836" t="s">
        <v>547</v>
      </c>
      <c r="I48" s="835">
        <f>SUM(I47:I47)</f>
        <v>9.3333333333333339</v>
      </c>
    </row>
    <row r="49" spans="1:14" x14ac:dyDescent="0.3">
      <c r="J49" s="432"/>
      <c r="K49" s="432"/>
      <c r="L49" s="432"/>
      <c r="M49" s="432"/>
      <c r="N49" s="432"/>
    </row>
    <row r="51" spans="1:14" s="432" customFormat="1" x14ac:dyDescent="0.3">
      <c r="A51" s="311"/>
      <c r="B51" s="311"/>
      <c r="C51" s="311"/>
      <c r="D51" s="311"/>
      <c r="E51" s="311"/>
      <c r="F51" s="311"/>
      <c r="G51" s="311"/>
      <c r="H51" s="311"/>
      <c r="I51" s="311"/>
      <c r="J51" s="311"/>
      <c r="K51" s="311"/>
      <c r="L51" s="311"/>
      <c r="M51" s="311"/>
      <c r="N51" s="311"/>
    </row>
    <row r="53" spans="1:14" s="432" customFormat="1" x14ac:dyDescent="0.3">
      <c r="A53" s="311"/>
      <c r="B53" s="311"/>
      <c r="C53" s="311"/>
      <c r="D53" s="311"/>
      <c r="E53" s="311"/>
      <c r="F53" s="311"/>
      <c r="G53" s="311"/>
      <c r="H53" s="311"/>
      <c r="I53" s="311"/>
      <c r="J53" s="311"/>
      <c r="K53" s="311"/>
      <c r="L53" s="311"/>
      <c r="M53" s="311"/>
      <c r="N53" s="311"/>
    </row>
    <row r="56" spans="1:14" s="432" customFormat="1" x14ac:dyDescent="0.3">
      <c r="A56" s="311"/>
      <c r="B56" s="311"/>
      <c r="C56" s="311"/>
      <c r="D56" s="311"/>
      <c r="E56" s="311"/>
      <c r="F56" s="311"/>
      <c r="G56" s="311"/>
      <c r="H56" s="311"/>
      <c r="I56" s="311"/>
      <c r="J56" s="311"/>
      <c r="K56" s="311"/>
      <c r="L56" s="311"/>
      <c r="M56" s="311"/>
      <c r="N56" s="311"/>
    </row>
  </sheetData>
  <pageMargins left="0.7" right="0.7" top="0.75" bottom="0.75" header="0.3" footer="0.3"/>
  <pageSetup paperSize="9" scale="57" orientation="landscape" r:id="rId1"/>
  <rowBreaks count="1" manualBreakCount="1">
    <brk id="38" max="16383" man="1"/>
  </rowBreaks>
  <drawing r:id="rId2"/>
</worksheet>
</file>

<file path=xl/worksheets/sheet2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1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2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N11+I22</f>
        <v>8.6960713999999992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413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415</v>
      </c>
      <c r="D4" s="837" t="s">
        <v>541</v>
      </c>
      <c r="J4" s="837" t="s">
        <v>538</v>
      </c>
      <c r="M4" s="837" t="s">
        <v>539</v>
      </c>
      <c r="N4" s="336">
        <f>N1*N2</f>
        <v>34.784285599999997</v>
      </c>
    </row>
    <row r="5" spans="1:14" x14ac:dyDescent="0.3">
      <c r="A5" s="837" t="s">
        <v>537</v>
      </c>
      <c r="B5" s="199" t="s">
        <v>414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 t="s">
        <v>2668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606</v>
      </c>
      <c r="C10" s="183" t="s">
        <v>607</v>
      </c>
      <c r="D10" s="241">
        <v>2.25</v>
      </c>
      <c r="E10" s="459">
        <v>0.03</v>
      </c>
      <c r="F10" s="183" t="s">
        <v>644</v>
      </c>
      <c r="G10" s="183">
        <v>4.1000000000000002E-2</v>
      </c>
      <c r="H10" s="204" t="s">
        <v>644</v>
      </c>
      <c r="I10" s="269" t="s">
        <v>2669</v>
      </c>
      <c r="J10" s="206">
        <f>E10*G10</f>
        <v>1.23E-3</v>
      </c>
      <c r="K10" s="207">
        <v>2.8000000000000001E-2</v>
      </c>
      <c r="L10" s="204">
        <v>7860</v>
      </c>
      <c r="M10" s="183">
        <v>1</v>
      </c>
      <c r="N10" s="385">
        <f>IF(J10="",D10*M10,D10*J10*K10*L10*M10)</f>
        <v>0.60907140000000004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841">
        <f>SUM(N10:N10)</f>
        <v>0.60907140000000004</v>
      </c>
    </row>
    <row r="12" spans="1:14" x14ac:dyDescent="0.3">
      <c r="H12" s="326"/>
      <c r="I12" s="325"/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IF('SU 01001'!$H14&lt;&gt;"",'SU 01001'!$D14*'SU 01001'!$F14*'SU 01001'!$H14,'SU 01001'!$D14*'SU 01001'!$F14)</f>
        <v>1.3</v>
      </c>
    </row>
    <row r="15" spans="1:14" ht="28.8" x14ac:dyDescent="0.3">
      <c r="A15" s="168">
        <v>20</v>
      </c>
      <c r="B15" s="180" t="s">
        <v>609</v>
      </c>
      <c r="C15" s="184" t="s">
        <v>1769</v>
      </c>
      <c r="D15" s="243">
        <v>0.04</v>
      </c>
      <c r="E15" s="180" t="s">
        <v>610</v>
      </c>
      <c r="F15" s="168">
        <v>12.5</v>
      </c>
      <c r="G15" s="184" t="s">
        <v>598</v>
      </c>
      <c r="H15" s="168">
        <v>3</v>
      </c>
      <c r="I15" s="323">
        <f>IF('SU 01001'!$H15&lt;&gt;"",'SU 01001'!$D15*'SU 01001'!$F15*'SU 01001'!$H15,'SU 01001'!$D15*'SU 01001'!$F15)</f>
        <v>1.5</v>
      </c>
    </row>
    <row r="16" spans="1:14" ht="28.8" x14ac:dyDescent="0.3">
      <c r="A16" s="168">
        <v>30</v>
      </c>
      <c r="B16" s="180" t="s">
        <v>1876</v>
      </c>
      <c r="C16" s="168"/>
      <c r="D16" s="243">
        <v>0.65</v>
      </c>
      <c r="E16" s="180" t="s">
        <v>556</v>
      </c>
      <c r="F16" s="168">
        <v>1</v>
      </c>
      <c r="G16" s="168"/>
      <c r="H16" s="168"/>
      <c r="I16" s="323">
        <f>IF('SU 01001'!$H16&lt;&gt;"",'SU 01001'!$D16*'SU 01001'!$F16*'SU 01001'!$H16,'SU 01001'!$D16*'SU 01001'!$F16)</f>
        <v>0.65</v>
      </c>
    </row>
    <row r="17" spans="1:14" ht="28.8" x14ac:dyDescent="0.3">
      <c r="A17" s="168">
        <v>40</v>
      </c>
      <c r="B17" s="180" t="s">
        <v>791</v>
      </c>
      <c r="C17" s="193" t="s">
        <v>2670</v>
      </c>
      <c r="D17" s="323">
        <v>0.35</v>
      </c>
      <c r="E17" s="168" t="s">
        <v>843</v>
      </c>
      <c r="F17" s="168">
        <v>1</v>
      </c>
      <c r="G17" s="184" t="s">
        <v>2671</v>
      </c>
      <c r="H17" s="168">
        <v>1.5</v>
      </c>
      <c r="I17" s="323">
        <f>IF('SU 01001'!$H17&lt;&gt;"",'SU 01001'!$D17*'SU 01001'!$F17*'SU 01001'!$H17,'SU 01001'!$D17*'SU 01001'!$F17)</f>
        <v>0.52499999999999991</v>
      </c>
    </row>
    <row r="18" spans="1:14" ht="43.2" x14ac:dyDescent="0.3">
      <c r="A18" s="168">
        <v>50</v>
      </c>
      <c r="B18" s="180" t="s">
        <v>589</v>
      </c>
      <c r="C18" s="171"/>
      <c r="D18" s="323">
        <v>1.3</v>
      </c>
      <c r="E18" s="168"/>
      <c r="F18" s="168">
        <v>1</v>
      </c>
      <c r="G18" s="168"/>
      <c r="H18" s="168"/>
      <c r="I18" s="323">
        <f>IF('SU 01001'!$H18&lt;&gt;"",'SU 01001'!$D18*'SU 01001'!$F18*'SU 01001'!$H18,'SU 01001'!$D18*'SU 01001'!$F18)</f>
        <v>1.3</v>
      </c>
    </row>
    <row r="19" spans="1:14" s="178" customFormat="1" ht="28.8" x14ac:dyDescent="0.3">
      <c r="A19" s="168">
        <v>60</v>
      </c>
      <c r="B19" s="180" t="s">
        <v>609</v>
      </c>
      <c r="C19" s="193" t="s">
        <v>1877</v>
      </c>
      <c r="D19" s="323">
        <v>0.04</v>
      </c>
      <c r="E19" s="168" t="s">
        <v>610</v>
      </c>
      <c r="F19" s="168">
        <v>9.3000000000000007</v>
      </c>
      <c r="G19" s="184" t="s">
        <v>598</v>
      </c>
      <c r="H19" s="168">
        <v>3</v>
      </c>
      <c r="I19" s="323">
        <f>IF('SU 01001'!$H19&lt;&gt;"",'SU 01001'!$D19*'SU 01001'!$F19*'SU 01001'!$H19,'SU 01001'!$D19*'SU 01001'!$F19)</f>
        <v>1.1160000000000001</v>
      </c>
      <c r="J19" s="161"/>
      <c r="K19" s="161"/>
      <c r="L19" s="161"/>
      <c r="M19" s="161"/>
      <c r="N19" s="161"/>
    </row>
    <row r="20" spans="1:14" s="178" customFormat="1" ht="43.2" x14ac:dyDescent="0.3">
      <c r="A20" s="168">
        <v>70</v>
      </c>
      <c r="B20" s="180" t="s">
        <v>589</v>
      </c>
      <c r="C20" s="171"/>
      <c r="D20" s="323">
        <v>1.3</v>
      </c>
      <c r="E20" s="168"/>
      <c r="F20" s="168">
        <v>1</v>
      </c>
      <c r="G20" s="168"/>
      <c r="H20" s="168"/>
      <c r="I20" s="323">
        <f>IF('SU 01001'!$H20&lt;&gt;"",'SU 01001'!$D20*'SU 01001'!$F20*'SU 01001'!$H20,'SU 01001'!$D20*'SU 01001'!$F20)</f>
        <v>1.3</v>
      </c>
      <c r="J20" s="161"/>
      <c r="K20" s="161"/>
      <c r="L20" s="161"/>
      <c r="M20" s="161"/>
      <c r="N20" s="161"/>
    </row>
    <row r="21" spans="1:14" ht="27.6" customHeight="1" x14ac:dyDescent="0.3">
      <c r="A21" s="168">
        <v>80</v>
      </c>
      <c r="B21" s="180" t="s">
        <v>609</v>
      </c>
      <c r="C21" s="193" t="s">
        <v>2672</v>
      </c>
      <c r="D21" s="323">
        <v>0.04</v>
      </c>
      <c r="E21" s="168" t="s">
        <v>610</v>
      </c>
      <c r="F21" s="168">
        <v>3.3</v>
      </c>
      <c r="G21" s="184" t="s">
        <v>598</v>
      </c>
      <c r="H21" s="168">
        <v>3</v>
      </c>
      <c r="I21" s="323">
        <f>IF('SU 01001'!$H21&lt;&gt;"",'SU 01001'!$D21*'SU 01001'!$F21*'SU 01001'!$H21,'SU 01001'!$D21*'SU 01001'!$F21)</f>
        <v>0.39600000000000002</v>
      </c>
    </row>
    <row r="22" spans="1:14" s="178" customFormat="1" x14ac:dyDescent="0.3">
      <c r="H22" s="840" t="s">
        <v>547</v>
      </c>
      <c r="I22" s="841">
        <f>SUM(I14:I21)</f>
        <v>8.0869999999999997</v>
      </c>
      <c r="J22" s="161"/>
      <c r="K22" s="161"/>
      <c r="L22" s="161"/>
      <c r="M22" s="161"/>
      <c r="N22" s="161"/>
    </row>
    <row r="23" spans="1:14" x14ac:dyDescent="0.3">
      <c r="D23" s="248"/>
    </row>
    <row r="25" spans="1:14" s="178" customFormat="1" x14ac:dyDescent="0.3">
      <c r="A25" s="161"/>
      <c r="B25" s="161"/>
      <c r="C25" s="161"/>
      <c r="D25" s="161"/>
      <c r="E25" s="161"/>
      <c r="F25" s="161"/>
      <c r="G25" s="161"/>
      <c r="H25" s="161"/>
      <c r="I25" s="161"/>
      <c r="J25" s="161"/>
      <c r="K25" s="161"/>
      <c r="L25" s="161"/>
      <c r="M25" s="161"/>
      <c r="N25" s="161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x14ac:dyDescent="0.3">
      <c r="L29" s="178"/>
      <c r="M29" s="178"/>
      <c r="N29" s="178"/>
    </row>
    <row r="31" spans="1:14" x14ac:dyDescent="0.3">
      <c r="L31" s="178"/>
      <c r="M31" s="178"/>
      <c r="N31" s="178"/>
    </row>
    <row r="34" spans="1:14" x14ac:dyDescent="0.3">
      <c r="L34" s="178"/>
      <c r="M34" s="178"/>
      <c r="N34" s="178"/>
    </row>
    <row r="36" spans="1:14" s="178" customFormat="1" x14ac:dyDescent="0.3">
      <c r="A36" s="161"/>
      <c r="B36" s="161"/>
      <c r="C36" s="161"/>
      <c r="D36" s="161"/>
      <c r="E36" s="161"/>
      <c r="F36" s="161"/>
      <c r="G36" s="161"/>
      <c r="H36" s="161"/>
      <c r="I36" s="161"/>
      <c r="J36" s="161"/>
      <c r="K36" s="161"/>
      <c r="L36" s="161"/>
      <c r="M36" s="161"/>
      <c r="N36" s="161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</sheetData>
  <pageMargins left="0.7" right="0.7" top="0.75" bottom="0.75" header="0.3" footer="0.3"/>
  <pageSetup paperSize="9" scale="68" orientation="landscape" r:id="rId1"/>
</worksheet>
</file>

<file path=xl/worksheets/sheet2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2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N11+I18</f>
        <v>3.1523818481530936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8</v>
      </c>
    </row>
    <row r="3" spans="1:14" x14ac:dyDescent="0.3">
      <c r="A3" s="837" t="s">
        <v>534</v>
      </c>
      <c r="B3" s="161" t="s">
        <v>413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417</v>
      </c>
      <c r="D4" s="837" t="s">
        <v>541</v>
      </c>
      <c r="J4" s="837" t="s">
        <v>538</v>
      </c>
      <c r="M4" s="837" t="s">
        <v>539</v>
      </c>
      <c r="N4" s="336">
        <f>N1*N2</f>
        <v>25.219054785224749</v>
      </c>
    </row>
    <row r="5" spans="1:14" x14ac:dyDescent="0.3">
      <c r="A5" s="837" t="s">
        <v>537</v>
      </c>
      <c r="B5" s="199" t="s">
        <v>416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634" t="s">
        <v>726</v>
      </c>
      <c r="C10" s="183" t="s">
        <v>607</v>
      </c>
      <c r="D10" s="241">
        <v>2.25</v>
      </c>
      <c r="E10" s="183">
        <v>1.7000000000000001E-2</v>
      </c>
      <c r="F10" s="183" t="s">
        <v>644</v>
      </c>
      <c r="G10" s="183"/>
      <c r="H10" s="204"/>
      <c r="I10" s="269" t="s">
        <v>2673</v>
      </c>
      <c r="J10" s="206">
        <f>(E10*E10*PI())/4</f>
        <v>2.2698006922186259E-4</v>
      </c>
      <c r="K10" s="207">
        <v>2.7E-2</v>
      </c>
      <c r="L10" s="204">
        <v>7860</v>
      </c>
      <c r="M10" s="183">
        <v>1</v>
      </c>
      <c r="N10" s="385">
        <f>IF(J10="",D10*M10,D10*J10*K10*L10*M10)</f>
        <v>0.10838184815309328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0.10838184815309328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IF('SU 01002'!$H14&lt;&gt;"",'SU 01002'!$D14*'SU 01002'!$F14*'SU 01002'!$H14,'SU 01002'!$D14*'SU 01002'!$F14)</f>
        <v>1.3</v>
      </c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2.7</v>
      </c>
      <c r="G15" s="184" t="s">
        <v>598</v>
      </c>
      <c r="H15" s="168">
        <v>3</v>
      </c>
      <c r="I15" s="323">
        <f>IF('SU 01002'!$H15&lt;&gt;"",'SU 01002'!$D15*'SU 01002'!$F15*'SU 01002'!$H15,'SU 01002'!$D15*'SU 01002'!$F15)</f>
        <v>0.32400000000000007</v>
      </c>
    </row>
    <row r="16" spans="1:14" ht="43.2" x14ac:dyDescent="0.3">
      <c r="A16" s="168">
        <v>30</v>
      </c>
      <c r="B16" s="180" t="s">
        <v>589</v>
      </c>
      <c r="C16" s="171"/>
      <c r="D16" s="323">
        <v>1.3</v>
      </c>
      <c r="E16" s="168"/>
      <c r="F16" s="168">
        <v>1</v>
      </c>
      <c r="G16" s="168"/>
      <c r="H16" s="168"/>
      <c r="I16" s="323">
        <f>IF('SU 01002'!$H16&lt;&gt;"",'SU 01002'!$D16*'SU 01002'!$F16*'SU 01002'!$H16,'SU 01002'!$D16*'SU 01002'!$F16)</f>
        <v>1.3</v>
      </c>
    </row>
    <row r="17" spans="1:14" ht="28.8" x14ac:dyDescent="0.3">
      <c r="A17" s="168">
        <v>40</v>
      </c>
      <c r="B17" s="180" t="s">
        <v>609</v>
      </c>
      <c r="C17" s="193" t="s">
        <v>2674</v>
      </c>
      <c r="D17" s="323">
        <v>0.04</v>
      </c>
      <c r="E17" s="168" t="s">
        <v>610</v>
      </c>
      <c r="F17" s="168">
        <v>1</v>
      </c>
      <c r="G17" s="184" t="s">
        <v>598</v>
      </c>
      <c r="H17" s="168">
        <v>3</v>
      </c>
      <c r="I17" s="323">
        <f>IF('SU 01002'!$H17&lt;&gt;"",'SU 01002'!$D17*'SU 01002'!$F17*'SU 01002'!$H17,'SU 01002'!$D17*'SU 01002'!$F17)</f>
        <v>0.12</v>
      </c>
    </row>
    <row r="18" spans="1:14" x14ac:dyDescent="0.3">
      <c r="A18" s="178"/>
      <c r="B18" s="178"/>
      <c r="C18" s="178"/>
      <c r="D18" s="178"/>
      <c r="E18" s="178"/>
      <c r="F18" s="178"/>
      <c r="G18" s="178"/>
      <c r="H18" s="840" t="s">
        <v>547</v>
      </c>
      <c r="I18" s="841">
        <f>SUM(I14:I17)</f>
        <v>3.0440000000000005</v>
      </c>
    </row>
    <row r="19" spans="1:14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1" spans="1:14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3" spans="1:14" x14ac:dyDescent="0.3">
      <c r="J23" s="178"/>
      <c r="K23" s="178"/>
      <c r="L23" s="178"/>
      <c r="M23" s="178"/>
      <c r="N23" s="178"/>
    </row>
    <row r="25" spans="1:14" x14ac:dyDescent="0.3">
      <c r="K25" s="178"/>
      <c r="L25" s="178"/>
      <c r="M25" s="178"/>
      <c r="N25" s="178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2" spans="1:14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</row>
    <row r="34" spans="1:14" x14ac:dyDescent="0.3">
      <c r="K34" s="178"/>
      <c r="L34" s="178"/>
      <c r="M34" s="178"/>
      <c r="N34" s="178"/>
    </row>
    <row r="36" spans="1:14" x14ac:dyDescent="0.3">
      <c r="K36" s="178"/>
      <c r="L36" s="178"/>
      <c r="M36" s="178"/>
      <c r="N36" s="178"/>
    </row>
    <row r="39" spans="1:14" x14ac:dyDescent="0.3">
      <c r="K39" s="178"/>
      <c r="L39" s="178"/>
      <c r="M39" s="178"/>
      <c r="N39" s="178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46" spans="1:14" s="178" customFormat="1" x14ac:dyDescent="0.3">
      <c r="A46" s="161"/>
      <c r="B46" s="161"/>
      <c r="C46" s="161"/>
      <c r="D46" s="161"/>
      <c r="E46" s="161"/>
      <c r="F46" s="161"/>
      <c r="G46" s="161"/>
      <c r="H46" s="161"/>
      <c r="I46" s="161"/>
      <c r="J46" s="161"/>
      <c r="K46" s="161"/>
      <c r="L46" s="161"/>
      <c r="M46" s="161"/>
      <c r="N46" s="161"/>
    </row>
  </sheetData>
  <pageMargins left="0.7" right="0.7" top="0.75" bottom="0.75" header="0.3" footer="0.3"/>
  <pageSetup paperSize="9" scale="67" orientation="landscape" r:id="rId1"/>
</worksheet>
</file>

<file path=xl/worksheets/sheet2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4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7.21875" style="161" customWidth="1"/>
    <col min="3" max="3" width="21.109375" style="161" customWidth="1"/>
    <col min="4" max="4" width="13.5546875" style="161" bestFit="1" customWidth="1"/>
    <col min="5" max="5" width="14.3320312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20.77734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2.1118244800000001</v>
      </c>
    </row>
    <row r="2" spans="1:14" x14ac:dyDescent="0.3">
      <c r="A2" s="837" t="s">
        <v>532</v>
      </c>
      <c r="B2" s="161" t="s">
        <v>411</v>
      </c>
      <c r="C2" s="359" t="s">
        <v>732</v>
      </c>
      <c r="D2" s="843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413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2640</v>
      </c>
      <c r="D4" s="837" t="s">
        <v>541</v>
      </c>
      <c r="J4" s="837" t="s">
        <v>538</v>
      </c>
      <c r="M4" s="837" t="s">
        <v>539</v>
      </c>
      <c r="N4" s="336">
        <f>N1*N2</f>
        <v>8.4472979200000005</v>
      </c>
    </row>
    <row r="5" spans="1:14" x14ac:dyDescent="0.3">
      <c r="A5" s="837" t="s">
        <v>537</v>
      </c>
      <c r="B5" s="199" t="s">
        <v>418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634" t="s">
        <v>726</v>
      </c>
      <c r="C10" s="183" t="s">
        <v>607</v>
      </c>
      <c r="D10" s="241">
        <v>2.25</v>
      </c>
      <c r="E10" s="183">
        <v>4.1000000000000002E-2</v>
      </c>
      <c r="F10" s="183" t="s">
        <v>644</v>
      </c>
      <c r="G10" s="183">
        <v>3.2000000000000001E-2</v>
      </c>
      <c r="H10" s="204" t="s">
        <v>644</v>
      </c>
      <c r="I10" s="269" t="s">
        <v>2675</v>
      </c>
      <c r="J10" s="206">
        <f>E10*G10</f>
        <v>1.312E-3</v>
      </c>
      <c r="K10" s="207">
        <v>8.9999999999999993E-3</v>
      </c>
      <c r="L10" s="204">
        <v>7860</v>
      </c>
      <c r="M10" s="183">
        <v>1</v>
      </c>
      <c r="N10" s="385">
        <f>IF(J10="",D10*M10,D10*J10*K10*L10*M10)</f>
        <v>0.20882448000000001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0.20882448000000001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IF('SU 01003'!$H14&lt;&gt;"",'SU 01003'!$D14*'SU 01003'!$F14*'SU 01003'!$H14,'SU 01003'!$D14*'SU 01003'!$F14)</f>
        <v>1.3</v>
      </c>
    </row>
    <row r="15" spans="1:14" ht="28.8" x14ac:dyDescent="0.3">
      <c r="A15" s="168">
        <v>20</v>
      </c>
      <c r="B15" s="180" t="s">
        <v>700</v>
      </c>
      <c r="C15" s="193" t="s">
        <v>1769</v>
      </c>
      <c r="D15" s="323">
        <v>0.01</v>
      </c>
      <c r="E15" s="168" t="s">
        <v>593</v>
      </c>
      <c r="F15" s="168">
        <v>20.100000000000001</v>
      </c>
      <c r="G15" s="184" t="s">
        <v>1779</v>
      </c>
      <c r="H15" s="168">
        <v>3</v>
      </c>
      <c r="I15" s="323">
        <f>IF('SU 01003'!$H15&lt;&gt;"",'SU 01003'!$D15*'SU 01003'!$F15*'SU 01003'!$H15,'SU 01003'!$D15*'SU 01003'!$F15)</f>
        <v>0.60299999999999998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840" t="s">
        <v>547</v>
      </c>
      <c r="I16" s="841">
        <f>SUM(I14:I15)</f>
        <v>1.903</v>
      </c>
    </row>
    <row r="17" spans="1:14" s="178" customFormat="1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  <c r="L17" s="161"/>
      <c r="M17" s="161"/>
      <c r="N17" s="161"/>
    </row>
    <row r="19" spans="1:14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1" spans="1:14" x14ac:dyDescent="0.3">
      <c r="J21" s="178"/>
      <c r="K21" s="178"/>
      <c r="L21" s="178"/>
      <c r="M21" s="178"/>
      <c r="N21" s="178"/>
    </row>
    <row r="23" spans="1:14" x14ac:dyDescent="0.3">
      <c r="K23" s="178"/>
      <c r="L23" s="178"/>
      <c r="M23" s="178"/>
      <c r="N23" s="178"/>
    </row>
    <row r="28" spans="1:14" s="178" customFormat="1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  <c r="L28" s="161"/>
      <c r="M28" s="161"/>
      <c r="N28" s="161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2" spans="1:14" x14ac:dyDescent="0.3">
      <c r="K32" s="178"/>
      <c r="L32" s="178"/>
      <c r="M32" s="178"/>
      <c r="N32" s="178"/>
    </row>
    <row r="34" spans="1:14" x14ac:dyDescent="0.3">
      <c r="K34" s="178"/>
      <c r="L34" s="178"/>
      <c r="M34" s="178"/>
      <c r="N34" s="178"/>
    </row>
    <row r="37" spans="1:14" x14ac:dyDescent="0.3">
      <c r="K37" s="178"/>
      <c r="L37" s="178"/>
      <c r="M37" s="178"/>
      <c r="N37" s="178"/>
    </row>
    <row r="39" spans="1:14" s="178" customFormat="1" x14ac:dyDescent="0.3">
      <c r="A39" s="161"/>
      <c r="B39" s="161"/>
      <c r="C39" s="161"/>
      <c r="D39" s="161"/>
      <c r="E39" s="161"/>
      <c r="F39" s="161"/>
      <c r="G39" s="161"/>
      <c r="H39" s="161"/>
      <c r="I39" s="161"/>
      <c r="J39" s="161"/>
      <c r="K39" s="161"/>
      <c r="L39" s="161"/>
      <c r="M39" s="161"/>
      <c r="N39" s="161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44" spans="1:14" s="178" customFormat="1" x14ac:dyDescent="0.3">
      <c r="A44" s="161"/>
      <c r="B44" s="161"/>
      <c r="C44" s="161"/>
      <c r="D44" s="161"/>
      <c r="E44" s="161"/>
      <c r="F44" s="161"/>
      <c r="G44" s="161"/>
      <c r="H44" s="161"/>
      <c r="I44" s="161"/>
      <c r="J44" s="161"/>
      <c r="K44" s="161"/>
      <c r="L44" s="161"/>
      <c r="M44" s="161"/>
      <c r="N44" s="161"/>
    </row>
  </sheetData>
  <hyperlinks>
    <hyperlink ref="D2" location="'Bearing support drawing'!A1" display="FileLink1"/>
  </hyperlinks>
  <pageMargins left="0.7" right="0.7" top="0.75" bottom="0.75" header="0.3" footer="0.3"/>
  <pageSetup paperSize="9" scale="64" orientation="landscape" r:id="rId1"/>
</worksheet>
</file>

<file path=xl/worksheets/sheet2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4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9.88671875" style="161" customWidth="1"/>
    <col min="3" max="3" width="24.664062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6.332031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6640625" style="16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2.2411917099999998</v>
      </c>
    </row>
    <row r="2" spans="1:14" x14ac:dyDescent="0.3">
      <c r="A2" s="837" t="s">
        <v>532</v>
      </c>
      <c r="B2" s="161" t="s">
        <v>411</v>
      </c>
      <c r="C2" s="359" t="s">
        <v>732</v>
      </c>
      <c r="D2" s="843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413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2641</v>
      </c>
      <c r="D4" s="837" t="s">
        <v>541</v>
      </c>
      <c r="J4" s="837" t="s">
        <v>538</v>
      </c>
      <c r="M4" s="837" t="s">
        <v>539</v>
      </c>
      <c r="N4" s="336">
        <f>N1*N2</f>
        <v>4.4823834199999997</v>
      </c>
    </row>
    <row r="5" spans="1:14" x14ac:dyDescent="0.3">
      <c r="A5" s="837" t="s">
        <v>537</v>
      </c>
      <c r="B5" s="199" t="s">
        <v>420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1275</v>
      </c>
      <c r="C10" s="183" t="s">
        <v>607</v>
      </c>
      <c r="D10" s="241">
        <v>2.25</v>
      </c>
      <c r="E10" s="183">
        <v>4.7E-2</v>
      </c>
      <c r="F10" s="183" t="s">
        <v>644</v>
      </c>
      <c r="G10" s="183">
        <v>4.2000000000000003E-2</v>
      </c>
      <c r="H10" s="204" t="s">
        <v>644</v>
      </c>
      <c r="I10" s="269" t="s">
        <v>2676</v>
      </c>
      <c r="J10" s="206">
        <f>E10*G10</f>
        <v>1.9740000000000001E-3</v>
      </c>
      <c r="K10" s="207">
        <v>8.9999999999999993E-3</v>
      </c>
      <c r="L10" s="204">
        <v>7860</v>
      </c>
      <c r="M10" s="183">
        <v>1</v>
      </c>
      <c r="N10" s="385">
        <f>IF(J10="",D10*M10,D10*J10*K10*L10*M10)</f>
        <v>0.31419171000000001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0.31419171000000001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IF('SU 01004'!$H14&lt;&gt;"",'SU 01004'!$D14*'SU 01004'!$F14*'SU 01004'!$H14,'SU 01004'!$D14*'SU 01004'!$F14)</f>
        <v>1.3</v>
      </c>
    </row>
    <row r="15" spans="1:14" ht="28.8" x14ac:dyDescent="0.3">
      <c r="A15" s="168">
        <v>20</v>
      </c>
      <c r="B15" s="180" t="s">
        <v>700</v>
      </c>
      <c r="C15" s="193" t="s">
        <v>1769</v>
      </c>
      <c r="D15" s="323">
        <v>0.01</v>
      </c>
      <c r="E15" s="168" t="s">
        <v>593</v>
      </c>
      <c r="F15" s="168">
        <v>20.9</v>
      </c>
      <c r="G15" s="184" t="s">
        <v>1779</v>
      </c>
      <c r="H15" s="168">
        <v>3</v>
      </c>
      <c r="I15" s="323">
        <f>IF('SU 01004'!$H15&lt;&gt;"",'SU 01004'!$D15*'SU 01004'!$F15*'SU 01004'!$H15,'SU 01004'!$D15*'SU 01004'!$F15)</f>
        <v>0.627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840" t="s">
        <v>547</v>
      </c>
      <c r="I16" s="841">
        <f>SUM(I14:I15)</f>
        <v>1.927</v>
      </c>
    </row>
    <row r="17" spans="1:14" s="178" customFormat="1" x14ac:dyDescent="0.3">
      <c r="A17" s="161"/>
      <c r="B17" s="161"/>
      <c r="C17" s="161"/>
      <c r="D17" s="161"/>
      <c r="E17" s="161"/>
      <c r="F17" s="161"/>
      <c r="G17" s="161"/>
      <c r="H17" s="161"/>
      <c r="I17" s="161"/>
      <c r="J17" s="161"/>
      <c r="K17" s="161"/>
      <c r="L17" s="161"/>
      <c r="M17" s="161"/>
      <c r="N17" s="161"/>
    </row>
    <row r="19" spans="1:14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0" spans="1:14" x14ac:dyDescent="0.3">
      <c r="J20" s="178"/>
    </row>
    <row r="21" spans="1:14" x14ac:dyDescent="0.3">
      <c r="K21" s="178"/>
      <c r="L21" s="178"/>
      <c r="M21" s="178"/>
      <c r="N21" s="178"/>
    </row>
    <row r="23" spans="1:14" x14ac:dyDescent="0.3">
      <c r="K23" s="178"/>
      <c r="L23" s="178"/>
      <c r="M23" s="178"/>
      <c r="N23" s="178"/>
    </row>
    <row r="28" spans="1:14" s="178" customFormat="1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  <c r="L28" s="161"/>
      <c r="M28" s="161"/>
      <c r="N28" s="161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2" spans="1:14" x14ac:dyDescent="0.3">
      <c r="K32" s="178"/>
      <c r="L32" s="178"/>
      <c r="M32" s="178"/>
      <c r="N32" s="178"/>
    </row>
    <row r="34" spans="1:14" x14ac:dyDescent="0.3">
      <c r="K34" s="178"/>
      <c r="L34" s="178"/>
      <c r="M34" s="178"/>
      <c r="N34" s="178"/>
    </row>
    <row r="37" spans="1:14" x14ac:dyDescent="0.3">
      <c r="K37" s="178"/>
      <c r="L37" s="178"/>
      <c r="M37" s="178"/>
      <c r="N37" s="178"/>
    </row>
    <row r="39" spans="1:14" s="178" customFormat="1" x14ac:dyDescent="0.3">
      <c r="A39" s="161"/>
      <c r="B39" s="161"/>
      <c r="C39" s="161"/>
      <c r="D39" s="161"/>
      <c r="E39" s="161"/>
      <c r="F39" s="161"/>
      <c r="G39" s="161"/>
      <c r="H39" s="161"/>
      <c r="I39" s="161"/>
      <c r="J39" s="161"/>
      <c r="K39" s="161"/>
      <c r="L39" s="161"/>
      <c r="M39" s="161"/>
      <c r="N39" s="161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44" spans="1:14" s="178" customFormat="1" x14ac:dyDescent="0.3">
      <c r="A44" s="161"/>
      <c r="B44" s="161"/>
      <c r="C44" s="161"/>
      <c r="D44" s="161"/>
      <c r="E44" s="161"/>
      <c r="F44" s="161"/>
      <c r="G44" s="161"/>
      <c r="H44" s="161"/>
      <c r="I44" s="161"/>
      <c r="J44" s="161"/>
      <c r="K44" s="161"/>
      <c r="L44" s="161"/>
      <c r="M44" s="161"/>
      <c r="N44" s="161"/>
    </row>
  </sheetData>
  <hyperlinks>
    <hyperlink ref="D2" location="'Double bearing support drawing'!A1" display="FileLink1"/>
  </hyperlinks>
  <pageMargins left="0.7" right="0.7" top="0.75" bottom="0.75" header="0.3" footer="0.3"/>
  <pageSetup paperSize="9" scale="62" orientation="landscape" r:id="rId1"/>
</worksheet>
</file>

<file path=xl/worksheets/sheet2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21875" style="161" customWidth="1"/>
    <col min="6" max="6" width="12" style="161" bestFit="1" customWidth="1"/>
    <col min="7" max="7" width="19.441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88671875" style="16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0.19698183107117939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8</v>
      </c>
    </row>
    <row r="3" spans="1:14" x14ac:dyDescent="0.3">
      <c r="A3" s="837" t="s">
        <v>534</v>
      </c>
      <c r="B3" s="161" t="s">
        <v>413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78</v>
      </c>
      <c r="D4" s="837" t="s">
        <v>541</v>
      </c>
      <c r="J4" s="837" t="s">
        <v>538</v>
      </c>
      <c r="M4" s="837" t="s">
        <v>539</v>
      </c>
      <c r="N4" s="336">
        <f>N1*N2</f>
        <v>1.5758546485694351</v>
      </c>
    </row>
    <row r="5" spans="1:14" x14ac:dyDescent="0.3">
      <c r="A5" s="837" t="s">
        <v>537</v>
      </c>
      <c r="B5" s="199" t="s">
        <v>421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720</v>
      </c>
      <c r="C10" s="183" t="s">
        <v>607</v>
      </c>
      <c r="D10" s="241">
        <v>4.2</v>
      </c>
      <c r="E10" s="183">
        <v>1.7999999999999999E-2</v>
      </c>
      <c r="F10" s="183" t="s">
        <v>644</v>
      </c>
      <c r="G10" s="183"/>
      <c r="H10" s="204"/>
      <c r="I10" s="269" t="s">
        <v>2677</v>
      </c>
      <c r="J10" s="206">
        <f>(PI()*E10*E10)/4</f>
        <v>2.5446900494077322E-4</v>
      </c>
      <c r="K10" s="207">
        <v>5.0000000000000001E-3</v>
      </c>
      <c r="L10" s="204">
        <v>2710</v>
      </c>
      <c r="M10" s="183">
        <v>1</v>
      </c>
      <c r="N10" s="385">
        <f>IF(J10="",D10*M10,D10*J10*K10*L10*M10)</f>
        <v>1.4481831071179405E-2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1.4481831071179405E-2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2937</v>
      </c>
      <c r="H14" s="168">
        <f>1/8</f>
        <v>0.125</v>
      </c>
      <c r="I14" s="323">
        <f>IF('SU 01005'!$H14&lt;&gt;"",'SU 01005'!$D14*'SU 01005'!$F14*'SU 01005'!$H14,'SU 01005'!$D14*'SU 01005'!$F14)</f>
        <v>0.16250000000000001</v>
      </c>
    </row>
    <row r="15" spans="1:14" x14ac:dyDescent="0.3">
      <c r="A15" s="168">
        <v>20</v>
      </c>
      <c r="B15" s="180" t="s">
        <v>609</v>
      </c>
      <c r="C15" s="171"/>
      <c r="D15" s="323">
        <v>0.04</v>
      </c>
      <c r="E15" s="168" t="s">
        <v>610</v>
      </c>
      <c r="F15" s="168">
        <v>0.5</v>
      </c>
      <c r="G15" s="184" t="s">
        <v>710</v>
      </c>
      <c r="H15" s="168">
        <v>1</v>
      </c>
      <c r="I15" s="323">
        <f>IF('SU 01005'!$H15&lt;&gt;"",'SU 01005'!$D15*'SU 01005'!$F15*'SU 01005'!$H15,'SU 01005'!$D15*'SU 01005'!$F15)</f>
        <v>0.02</v>
      </c>
    </row>
    <row r="16" spans="1:14" s="178" customFormat="1" x14ac:dyDescent="0.3">
      <c r="H16" s="840" t="s">
        <v>547</v>
      </c>
      <c r="I16" s="841">
        <f>SUM(I14:I15)</f>
        <v>0.1825</v>
      </c>
      <c r="J16" s="161"/>
      <c r="K16" s="161"/>
      <c r="L16" s="161"/>
      <c r="M16" s="161"/>
      <c r="N16" s="161"/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19" spans="1:14" x14ac:dyDescent="0.3">
      <c r="J19" s="178"/>
    </row>
    <row r="20" spans="1:14" x14ac:dyDescent="0.3">
      <c r="K20" s="178"/>
      <c r="L20" s="178"/>
      <c r="M20" s="178"/>
      <c r="N20" s="178"/>
    </row>
    <row r="22" spans="1:14" x14ac:dyDescent="0.3">
      <c r="K22" s="178"/>
      <c r="L22" s="178"/>
      <c r="M22" s="178"/>
      <c r="N22" s="178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x14ac:dyDescent="0.3">
      <c r="K31" s="178"/>
      <c r="L31" s="178"/>
      <c r="M31" s="178"/>
      <c r="N31" s="178"/>
    </row>
    <row r="33" spans="1:14" x14ac:dyDescent="0.3">
      <c r="K33" s="178"/>
      <c r="L33" s="178"/>
      <c r="M33" s="178"/>
      <c r="N33" s="178"/>
    </row>
    <row r="36" spans="1:14" x14ac:dyDescent="0.3">
      <c r="K36" s="178"/>
      <c r="L36" s="178"/>
      <c r="M36" s="178"/>
      <c r="N36" s="178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</sheetData>
  <pageMargins left="0.7" right="0.7" top="0.75" bottom="0.75" header="0.3" footer="0.3"/>
  <pageSetup paperSize="9" scale="66" orientation="landscape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2.5546875" style="161" customWidth="1"/>
    <col min="2" max="2" width="28.88671875" style="161" customWidth="1"/>
    <col min="3" max="3" width="14.6640625" style="161" customWidth="1"/>
    <col min="4" max="4" width="12" style="161" customWidth="1"/>
    <col min="5" max="5" width="10.44140625" style="161" customWidth="1"/>
    <col min="6" max="6" width="10.6640625" style="161" customWidth="1"/>
    <col min="7" max="7" width="16.33203125" style="161" customWidth="1"/>
    <col min="8" max="8" width="10.664062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44140625" style="161" customWidth="1"/>
    <col min="14" max="14" width="10.66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N11+I17</f>
        <v>4.1617462582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68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777</v>
      </c>
      <c r="D4" s="342" t="s">
        <v>541</v>
      </c>
      <c r="J4" s="342" t="s">
        <v>538</v>
      </c>
      <c r="M4" s="342" t="s">
        <v>539</v>
      </c>
      <c r="N4" s="336">
        <f>N1*N2</f>
        <v>4.1617462582</v>
      </c>
    </row>
    <row r="5" spans="1:14" x14ac:dyDescent="0.3">
      <c r="A5" s="342" t="s">
        <v>537</v>
      </c>
      <c r="B5" s="166" t="s">
        <v>72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68" t="s">
        <v>606</v>
      </c>
      <c r="C10" s="168" t="s">
        <v>790</v>
      </c>
      <c r="D10" s="323">
        <v>2.25</v>
      </c>
      <c r="E10" s="168">
        <v>14</v>
      </c>
      <c r="F10" s="168" t="s">
        <v>573</v>
      </c>
      <c r="G10" s="168"/>
      <c r="H10" s="219"/>
      <c r="I10" s="220" t="s">
        <v>789</v>
      </c>
      <c r="J10" s="340">
        <f>7*7*3.14/1000000</f>
        <v>1.5386000000000002E-4</v>
      </c>
      <c r="K10" s="228">
        <v>0.30199999999999999</v>
      </c>
      <c r="L10" s="219">
        <v>7860</v>
      </c>
      <c r="M10" s="339">
        <v>1</v>
      </c>
      <c r="N10" s="322">
        <f>IF(J10="",D10*M10,D10*J10*K10*L10*M10)</f>
        <v>0.82174625820000002</v>
      </c>
    </row>
    <row r="11" spans="1:14" s="178" customFormat="1" x14ac:dyDescent="0.3">
      <c r="M11" s="338" t="s">
        <v>547</v>
      </c>
      <c r="N11" s="337">
        <f>SUM(N10:N10)</f>
        <v>0.82174625820000002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31.95" customHeight="1" x14ac:dyDescent="0.3">
      <c r="A14" s="168">
        <v>10</v>
      </c>
      <c r="B14" s="315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IF('EN 01003'!$H14&lt;&gt;"",'EN 01003'!$D14*'EN 01003'!$F14*'EN 01003'!$H14,'EN 01003'!$D14*'EN 01003'!$F14)</f>
        <v>1.3</v>
      </c>
    </row>
    <row r="15" spans="1:14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2</v>
      </c>
      <c r="G15" s="168" t="s">
        <v>784</v>
      </c>
      <c r="H15" s="168">
        <v>3</v>
      </c>
      <c r="I15" s="322">
        <f>IF('EN 01003'!$H15&lt;&gt;"",'EN 01003'!$D15*'EN 01003'!$F15*'EN 01003'!$H15,'EN 01003'!$D15*'EN 01003'!$F15)</f>
        <v>0.24</v>
      </c>
    </row>
    <row r="16" spans="1:14" x14ac:dyDescent="0.3">
      <c r="A16" s="168">
        <v>30</v>
      </c>
      <c r="B16" s="180" t="s">
        <v>788</v>
      </c>
      <c r="C16" s="171"/>
      <c r="D16" s="323">
        <v>0.1</v>
      </c>
      <c r="E16" s="168" t="s">
        <v>593</v>
      </c>
      <c r="F16" s="168">
        <v>6</v>
      </c>
      <c r="G16" s="168" t="s">
        <v>784</v>
      </c>
      <c r="H16" s="168">
        <v>3</v>
      </c>
      <c r="I16" s="322">
        <f>IF('EN 01003'!$H16&lt;&gt;"",'EN 01003'!$D16*'EN 01003'!$F16*'EN 01003'!$H16,'EN 01003'!$D16*'EN 01003'!$F16)</f>
        <v>1.8000000000000003</v>
      </c>
    </row>
    <row r="17" spans="8:9" s="178" customFormat="1" x14ac:dyDescent="0.3">
      <c r="H17" s="338" t="s">
        <v>547</v>
      </c>
      <c r="I17" s="337">
        <f>SUM(I14:I16)</f>
        <v>3.3400000000000003</v>
      </c>
    </row>
  </sheetData>
  <pageMargins left="0.5" right="0.5" top="0.75" bottom="0.75" header="0.3" footer="0.3"/>
  <pageSetup paperSize="9" scale="69" orientation="landscape" r:id="rId1"/>
</worksheet>
</file>

<file path=xl/worksheets/sheet2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N61"/>
  <sheetViews>
    <sheetView showGridLines="0" workbookViewId="0"/>
  </sheetViews>
  <sheetFormatPr defaultColWidth="9.109375" defaultRowHeight="14.4" x14ac:dyDescent="0.3"/>
  <cols>
    <col min="1" max="1" width="14.77734375" style="311" customWidth="1"/>
    <col min="2" max="2" width="28.33203125" style="311" customWidth="1"/>
    <col min="3" max="3" width="26.6640625" style="311" customWidth="1"/>
    <col min="4" max="4" width="12.88671875" style="311" customWidth="1"/>
    <col min="5" max="5" width="15.77734375" style="311" customWidth="1"/>
    <col min="6" max="6" width="15.21875" style="311" customWidth="1"/>
    <col min="7" max="7" width="10.44140625" style="311" bestFit="1" customWidth="1"/>
    <col min="8" max="8" width="15.88671875" style="311" customWidth="1"/>
    <col min="9" max="9" width="20.33203125" style="311" customWidth="1"/>
    <col min="10" max="10" width="14.77734375" style="311" customWidth="1"/>
    <col min="11" max="12" width="9.33203125" style="311" customWidth="1"/>
    <col min="13" max="13" width="14.33203125" style="311" customWidth="1"/>
    <col min="14" max="14" width="11.6640625" style="311" customWidth="1"/>
    <col min="15" max="16384" width="9.109375" style="311"/>
  </cols>
  <sheetData>
    <row r="1" spans="1:14" x14ac:dyDescent="0.3">
      <c r="A1" s="832" t="s">
        <v>523</v>
      </c>
      <c r="B1" s="311" t="s">
        <v>524</v>
      </c>
      <c r="J1" s="832" t="s">
        <v>528</v>
      </c>
      <c r="K1" s="163">
        <v>81</v>
      </c>
      <c r="M1" s="832" t="s">
        <v>531</v>
      </c>
      <c r="N1" s="424">
        <f>E14+N22+I41+J49+I53</f>
        <v>117.69708283746134</v>
      </c>
    </row>
    <row r="2" spans="1:14" x14ac:dyDescent="0.3">
      <c r="A2" s="832" t="s">
        <v>532</v>
      </c>
      <c r="B2" s="311" t="s">
        <v>411</v>
      </c>
      <c r="M2" s="832" t="s">
        <v>533</v>
      </c>
      <c r="N2" s="425">
        <v>2</v>
      </c>
    </row>
    <row r="3" spans="1:14" x14ac:dyDescent="0.3">
      <c r="A3" s="832" t="s">
        <v>534</v>
      </c>
      <c r="B3" s="311" t="s">
        <v>423</v>
      </c>
      <c r="J3" s="832" t="s">
        <v>536</v>
      </c>
    </row>
    <row r="4" spans="1:14" x14ac:dyDescent="0.3">
      <c r="A4" s="832" t="s">
        <v>537</v>
      </c>
      <c r="B4" s="166" t="s">
        <v>422</v>
      </c>
      <c r="J4" s="832" t="s">
        <v>538</v>
      </c>
      <c r="M4" s="832" t="s">
        <v>539</v>
      </c>
      <c r="N4" s="424">
        <f>N1*N2</f>
        <v>235.39416567492268</v>
      </c>
    </row>
    <row r="5" spans="1:14" x14ac:dyDescent="0.3">
      <c r="A5" s="832" t="s">
        <v>540</v>
      </c>
      <c r="B5" s="311" t="s">
        <v>36</v>
      </c>
      <c r="J5" s="832" t="s">
        <v>541</v>
      </c>
    </row>
    <row r="6" spans="1:14" x14ac:dyDescent="0.3">
      <c r="A6" s="832" t="s">
        <v>542</v>
      </c>
      <c r="B6" s="311" t="s">
        <v>2639</v>
      </c>
    </row>
    <row r="8" spans="1:14" x14ac:dyDescent="0.3">
      <c r="A8" s="833" t="s">
        <v>544</v>
      </c>
      <c r="B8" s="833" t="s">
        <v>545</v>
      </c>
      <c r="C8" s="833" t="s">
        <v>546</v>
      </c>
      <c r="D8" s="833" t="s">
        <v>28</v>
      </c>
      <c r="E8" s="833" t="s">
        <v>547</v>
      </c>
    </row>
    <row r="9" spans="1:14" x14ac:dyDescent="0.3">
      <c r="A9" s="183">
        <v>10</v>
      </c>
      <c r="B9" s="183" t="s">
        <v>425</v>
      </c>
      <c r="C9" s="241">
        <f>'SU 02001'!N1</f>
        <v>9.0943483999999994</v>
      </c>
      <c r="D9" s="183">
        <v>2</v>
      </c>
      <c r="E9" s="385">
        <f>C9*D9</f>
        <v>18.188696799999999</v>
      </c>
    </row>
    <row r="10" spans="1:14" x14ac:dyDescent="0.3">
      <c r="A10" s="183">
        <v>20</v>
      </c>
      <c r="B10" s="183" t="s">
        <v>417</v>
      </c>
      <c r="C10" s="241">
        <f>'SU 02002'!N1</f>
        <v>3.1523818481530936</v>
      </c>
      <c r="D10" s="183">
        <v>2</v>
      </c>
      <c r="E10" s="385">
        <f>C10*D10</f>
        <v>6.3047636963061873</v>
      </c>
    </row>
    <row r="11" spans="1:14" x14ac:dyDescent="0.3">
      <c r="A11" s="183">
        <v>30</v>
      </c>
      <c r="B11" s="183" t="s">
        <v>2640</v>
      </c>
      <c r="C11" s="241">
        <f>'SU 02003'!N1</f>
        <v>4.3912299199999998</v>
      </c>
      <c r="D11" s="183">
        <v>2</v>
      </c>
      <c r="E11" s="385">
        <f>C11*D11</f>
        <v>8.7824598399999996</v>
      </c>
    </row>
    <row r="12" spans="1:14" ht="28.8" x14ac:dyDescent="0.3">
      <c r="A12" s="183">
        <v>40</v>
      </c>
      <c r="B12" s="184" t="s">
        <v>2678</v>
      </c>
      <c r="C12" s="241">
        <f>'SU 02004'!N1</f>
        <v>35.859010900000015</v>
      </c>
      <c r="D12" s="183">
        <v>1</v>
      </c>
      <c r="E12" s="385">
        <f>C12*D12</f>
        <v>35.859010900000015</v>
      </c>
    </row>
    <row r="13" spans="1:14" x14ac:dyDescent="0.3">
      <c r="A13" s="183">
        <v>50</v>
      </c>
      <c r="B13" s="183" t="s">
        <v>78</v>
      </c>
      <c r="C13" s="241">
        <f>'SU 02005'!N1</f>
        <v>0.19698183107117939</v>
      </c>
      <c r="D13" s="183">
        <v>4</v>
      </c>
      <c r="E13" s="385">
        <f>C13*D13</f>
        <v>0.78792732428471757</v>
      </c>
    </row>
    <row r="14" spans="1:14" x14ac:dyDescent="0.3">
      <c r="D14" s="834" t="s">
        <v>547</v>
      </c>
      <c r="E14" s="835">
        <f>SUM(E9:E13)</f>
        <v>69.922858560590925</v>
      </c>
    </row>
    <row r="16" spans="1:14" x14ac:dyDescent="0.3">
      <c r="A16" s="833" t="s">
        <v>544</v>
      </c>
      <c r="B16" s="833" t="s">
        <v>581</v>
      </c>
      <c r="C16" s="833" t="s">
        <v>549</v>
      </c>
      <c r="D16" s="833" t="s">
        <v>550</v>
      </c>
      <c r="E16" s="833" t="s">
        <v>567</v>
      </c>
      <c r="F16" s="833" t="s">
        <v>568</v>
      </c>
      <c r="G16" s="833" t="s">
        <v>569</v>
      </c>
      <c r="H16" s="833" t="s">
        <v>570</v>
      </c>
      <c r="I16" s="833" t="s">
        <v>582</v>
      </c>
      <c r="J16" s="833" t="s">
        <v>583</v>
      </c>
      <c r="K16" s="833" t="s">
        <v>584</v>
      </c>
      <c r="L16" s="833" t="s">
        <v>585</v>
      </c>
      <c r="M16" s="833" t="s">
        <v>28</v>
      </c>
      <c r="N16" s="833" t="s">
        <v>547</v>
      </c>
    </row>
    <row r="17" spans="1:14" x14ac:dyDescent="0.3">
      <c r="A17" s="183">
        <v>10</v>
      </c>
      <c r="B17" s="190" t="s">
        <v>2642</v>
      </c>
      <c r="C17" s="183" t="s">
        <v>2679</v>
      </c>
      <c r="D17" s="241">
        <v>2.25</v>
      </c>
      <c r="E17" s="183">
        <v>1.4999999999999999E-2</v>
      </c>
      <c r="F17" s="183" t="s">
        <v>644</v>
      </c>
      <c r="G17" s="183">
        <v>1.2999999999999999E-2</v>
      </c>
      <c r="H17" s="204" t="s">
        <v>644</v>
      </c>
      <c r="I17" s="269" t="s">
        <v>2644</v>
      </c>
      <c r="J17" s="206">
        <f>(E17*E17-G17*G17)*PI()/4</f>
        <v>4.3982297150257112E-5</v>
      </c>
      <c r="K17" s="204">
        <v>0.311</v>
      </c>
      <c r="L17" s="204">
        <v>7860</v>
      </c>
      <c r="M17" s="183">
        <v>1</v>
      </c>
      <c r="N17" s="385">
        <f>IF(J17="",D17*M17,D17*J17*K17*L17*M17)</f>
        <v>0.24190417370681438</v>
      </c>
    </row>
    <row r="18" spans="1:14" x14ac:dyDescent="0.3">
      <c r="A18" s="183">
        <v>20</v>
      </c>
      <c r="B18" s="190" t="s">
        <v>2642</v>
      </c>
      <c r="C18" s="183" t="s">
        <v>2680</v>
      </c>
      <c r="D18" s="241">
        <v>2.25</v>
      </c>
      <c r="E18" s="183">
        <v>1.4999999999999999E-2</v>
      </c>
      <c r="F18" s="183" t="s">
        <v>644</v>
      </c>
      <c r="G18" s="183">
        <v>1.2999999999999999E-2</v>
      </c>
      <c r="H18" s="204" t="s">
        <v>644</v>
      </c>
      <c r="I18" s="269" t="s">
        <v>2644</v>
      </c>
      <c r="J18" s="206">
        <f>(E18*E18-G18*G18)*PI()/4</f>
        <v>4.3982297150257112E-5</v>
      </c>
      <c r="K18" s="207">
        <v>0.29599999999999999</v>
      </c>
      <c r="L18" s="204">
        <v>7860</v>
      </c>
      <c r="M18" s="183">
        <v>1</v>
      </c>
      <c r="N18" s="385">
        <f>IF(J18="",D18*M18,D18*J18*K18*L18*M18)</f>
        <v>0.23023676983027991</v>
      </c>
    </row>
    <row r="19" spans="1:14" ht="13.8" customHeight="1" x14ac:dyDescent="0.3">
      <c r="A19" s="183">
        <v>30</v>
      </c>
      <c r="B19" s="190" t="s">
        <v>2646</v>
      </c>
      <c r="C19" s="494" t="s">
        <v>2647</v>
      </c>
      <c r="D19" s="241">
        <v>6.92</v>
      </c>
      <c r="E19" s="183">
        <v>8</v>
      </c>
      <c r="F19" s="183" t="s">
        <v>573</v>
      </c>
      <c r="G19" s="183"/>
      <c r="H19" s="204"/>
      <c r="I19" s="205"/>
      <c r="J19" s="430"/>
      <c r="K19" s="204"/>
      <c r="L19" s="204"/>
      <c r="M19" s="183">
        <v>3</v>
      </c>
      <c r="N19" s="385">
        <f>IF(J19="",D19*M19,D19*J19*K19*L19*M19)</f>
        <v>20.759999999999998</v>
      </c>
    </row>
    <row r="20" spans="1:14" ht="15" customHeight="1" x14ac:dyDescent="0.3">
      <c r="A20" s="183">
        <v>40</v>
      </c>
      <c r="B20" s="190" t="s">
        <v>625</v>
      </c>
      <c r="C20" s="494" t="s">
        <v>2648</v>
      </c>
      <c r="D20" s="241">
        <v>10</v>
      </c>
      <c r="E20" s="183">
        <f>F26+F36</f>
        <v>0.13500000000000001</v>
      </c>
      <c r="F20" s="183" t="s">
        <v>627</v>
      </c>
      <c r="G20" s="183"/>
      <c r="H20" s="204"/>
      <c r="I20" s="205"/>
      <c r="J20" s="430"/>
      <c r="K20" s="204"/>
      <c r="L20" s="204"/>
      <c r="M20" s="183">
        <v>0.15</v>
      </c>
      <c r="N20" s="385">
        <f>IF(J20="",D20*M20,D20*J20*K20*L20*M20)</f>
        <v>1.5</v>
      </c>
    </row>
    <row r="21" spans="1:14" ht="28.2" customHeight="1" x14ac:dyDescent="0.3">
      <c r="A21" s="183">
        <v>50</v>
      </c>
      <c r="B21" s="190" t="s">
        <v>1024</v>
      </c>
      <c r="C21" s="494" t="s">
        <v>2649</v>
      </c>
      <c r="D21" s="241">
        <v>0</v>
      </c>
      <c r="E21" s="183"/>
      <c r="F21" s="183"/>
      <c r="G21" s="183"/>
      <c r="H21" s="204"/>
      <c r="I21" s="205"/>
      <c r="J21" s="430"/>
      <c r="K21" s="204"/>
      <c r="L21" s="204"/>
      <c r="M21" s="183"/>
      <c r="N21" s="385">
        <f>IF(J21="",D21*M21,D21*J21*K21*L21*M21)</f>
        <v>0</v>
      </c>
    </row>
    <row r="22" spans="1:14" ht="16.8" customHeight="1" x14ac:dyDescent="0.3">
      <c r="A22" s="432"/>
      <c r="B22" s="432"/>
      <c r="C22" s="432"/>
      <c r="D22" s="432"/>
      <c r="E22" s="432"/>
      <c r="F22" s="432"/>
      <c r="G22" s="432"/>
      <c r="H22" s="432"/>
      <c r="I22" s="432"/>
      <c r="J22" s="432"/>
      <c r="K22" s="432"/>
      <c r="L22" s="432"/>
      <c r="M22" s="834" t="s">
        <v>547</v>
      </c>
      <c r="N22" s="835">
        <f>SUM(N17:N20)</f>
        <v>22.732140943537093</v>
      </c>
    </row>
    <row r="24" spans="1:14" x14ac:dyDescent="0.3">
      <c r="A24" s="833" t="s">
        <v>544</v>
      </c>
      <c r="B24" s="833" t="s">
        <v>548</v>
      </c>
      <c r="C24" s="833" t="s">
        <v>549</v>
      </c>
      <c r="D24" s="833" t="s">
        <v>550</v>
      </c>
      <c r="E24" s="833" t="s">
        <v>551</v>
      </c>
      <c r="F24" s="833" t="s">
        <v>28</v>
      </c>
      <c r="G24" s="833" t="s">
        <v>552</v>
      </c>
      <c r="H24" s="833" t="s">
        <v>553</v>
      </c>
      <c r="I24" s="833" t="s">
        <v>547</v>
      </c>
      <c r="J24" s="432"/>
      <c r="K24" s="432"/>
      <c r="L24" s="432"/>
      <c r="M24" s="432"/>
      <c r="N24" s="432"/>
    </row>
    <row r="25" spans="1:14" x14ac:dyDescent="0.3">
      <c r="A25" s="183">
        <v>10</v>
      </c>
      <c r="B25" s="180" t="s">
        <v>650</v>
      </c>
      <c r="C25" s="184" t="s">
        <v>2650</v>
      </c>
      <c r="D25" s="183">
        <v>0.15</v>
      </c>
      <c r="E25" s="183" t="s">
        <v>593</v>
      </c>
      <c r="F25" s="183">
        <v>22</v>
      </c>
      <c r="G25" s="183"/>
      <c r="H25" s="183"/>
      <c r="I25" s="241">
        <f>D25*F25</f>
        <v>3.3</v>
      </c>
    </row>
    <row r="26" spans="1:14" x14ac:dyDescent="0.3">
      <c r="A26" s="183">
        <v>20</v>
      </c>
      <c r="B26" s="180" t="s">
        <v>653</v>
      </c>
      <c r="C26" s="193" t="s">
        <v>1731</v>
      </c>
      <c r="D26" s="241">
        <v>5.25</v>
      </c>
      <c r="E26" s="183" t="s">
        <v>627</v>
      </c>
      <c r="F26" s="183">
        <v>1.4999999999999999E-2</v>
      </c>
      <c r="G26" s="183"/>
      <c r="H26" s="183"/>
      <c r="I26" s="241">
        <f t="shared" ref="I26:I40" si="0">D26*F26</f>
        <v>7.8750000000000001E-2</v>
      </c>
    </row>
    <row r="27" spans="1:14" ht="28.8" x14ac:dyDescent="0.3">
      <c r="A27" s="183">
        <v>30</v>
      </c>
      <c r="B27" s="180" t="s">
        <v>650</v>
      </c>
      <c r="C27" s="193" t="s">
        <v>2651</v>
      </c>
      <c r="D27" s="241">
        <v>0.15</v>
      </c>
      <c r="E27" s="183" t="s">
        <v>593</v>
      </c>
      <c r="F27" s="183">
        <v>3</v>
      </c>
      <c r="G27" s="183"/>
      <c r="H27" s="183"/>
      <c r="I27" s="241">
        <f t="shared" si="0"/>
        <v>0.44999999999999996</v>
      </c>
    </row>
    <row r="28" spans="1:14" x14ac:dyDescent="0.3">
      <c r="A28" s="183">
        <v>40</v>
      </c>
      <c r="B28" s="180" t="s">
        <v>2652</v>
      </c>
      <c r="C28" s="183" t="s">
        <v>2679</v>
      </c>
      <c r="D28" s="241">
        <v>0.15</v>
      </c>
      <c r="E28" s="183" t="s">
        <v>593</v>
      </c>
      <c r="F28" s="183">
        <v>1.5</v>
      </c>
      <c r="G28" s="183"/>
      <c r="H28" s="183"/>
      <c r="I28" s="241">
        <f t="shared" si="0"/>
        <v>0.22499999999999998</v>
      </c>
    </row>
    <row r="29" spans="1:14" x14ac:dyDescent="0.3">
      <c r="A29" s="183">
        <v>50</v>
      </c>
      <c r="B29" s="180" t="s">
        <v>2652</v>
      </c>
      <c r="C29" s="183" t="s">
        <v>2680</v>
      </c>
      <c r="D29" s="241">
        <v>0.15</v>
      </c>
      <c r="E29" s="183" t="s">
        <v>593</v>
      </c>
      <c r="F29" s="183">
        <v>1.5</v>
      </c>
      <c r="G29" s="183"/>
      <c r="H29" s="183"/>
      <c r="I29" s="241">
        <f t="shared" si="0"/>
        <v>0.22499999999999998</v>
      </c>
    </row>
    <row r="30" spans="1:14" ht="28.8" x14ac:dyDescent="0.3">
      <c r="A30" s="183">
        <v>60</v>
      </c>
      <c r="B30" s="180" t="s">
        <v>650</v>
      </c>
      <c r="C30" s="193" t="s">
        <v>2653</v>
      </c>
      <c r="D30" s="241">
        <v>0.15</v>
      </c>
      <c r="E30" s="183" t="s">
        <v>593</v>
      </c>
      <c r="F30" s="183">
        <v>9</v>
      </c>
      <c r="G30" s="183"/>
      <c r="H30" s="183"/>
      <c r="I30" s="241">
        <f t="shared" si="0"/>
        <v>1.3499999999999999</v>
      </c>
    </row>
    <row r="31" spans="1:14" ht="28.8" x14ac:dyDescent="0.3">
      <c r="A31" s="183">
        <v>70</v>
      </c>
      <c r="B31" s="180" t="s">
        <v>650</v>
      </c>
      <c r="C31" s="193" t="s">
        <v>2681</v>
      </c>
      <c r="D31" s="241">
        <v>0.15</v>
      </c>
      <c r="E31" s="183" t="s">
        <v>593</v>
      </c>
      <c r="F31" s="183">
        <v>5</v>
      </c>
      <c r="G31" s="183"/>
      <c r="H31" s="183"/>
      <c r="I31" s="241">
        <f t="shared" si="0"/>
        <v>0.75</v>
      </c>
    </row>
    <row r="32" spans="1:14" x14ac:dyDescent="0.3">
      <c r="A32" s="183">
        <v>80</v>
      </c>
      <c r="B32" s="180" t="s">
        <v>2654</v>
      </c>
      <c r="C32" s="193" t="s">
        <v>2682</v>
      </c>
      <c r="D32" s="241">
        <v>0.02</v>
      </c>
      <c r="E32" s="183" t="s">
        <v>852</v>
      </c>
      <c r="F32" s="183">
        <v>20</v>
      </c>
      <c r="G32" s="183"/>
      <c r="H32" s="183"/>
      <c r="I32" s="241">
        <f t="shared" si="0"/>
        <v>0.4</v>
      </c>
    </row>
    <row r="33" spans="1:14" ht="28.8" x14ac:dyDescent="0.3">
      <c r="A33" s="183">
        <v>90</v>
      </c>
      <c r="B33" s="180" t="s">
        <v>2656</v>
      </c>
      <c r="C33" s="193" t="s">
        <v>2683</v>
      </c>
      <c r="D33" s="241">
        <v>0.19</v>
      </c>
      <c r="E33" s="183"/>
      <c r="F33" s="183">
        <v>3</v>
      </c>
      <c r="G33" s="183"/>
      <c r="H33" s="183"/>
      <c r="I33" s="241">
        <f t="shared" si="0"/>
        <v>0.57000000000000006</v>
      </c>
    </row>
    <row r="34" spans="1:14" x14ac:dyDescent="0.3">
      <c r="A34" s="183">
        <v>100</v>
      </c>
      <c r="B34" s="180" t="s">
        <v>2684</v>
      </c>
      <c r="C34" s="193" t="s">
        <v>2685</v>
      </c>
      <c r="D34" s="241">
        <v>0.5</v>
      </c>
      <c r="E34" s="183"/>
      <c r="F34" s="183">
        <v>2</v>
      </c>
      <c r="G34" s="183"/>
      <c r="H34" s="183"/>
      <c r="I34" s="241">
        <f t="shared" si="0"/>
        <v>1</v>
      </c>
    </row>
    <row r="35" spans="1:14" x14ac:dyDescent="0.3">
      <c r="A35" s="183">
        <v>110</v>
      </c>
      <c r="B35" s="180" t="s">
        <v>2684</v>
      </c>
      <c r="C35" s="193" t="s">
        <v>2686</v>
      </c>
      <c r="D35" s="241">
        <v>0.5</v>
      </c>
      <c r="E35" s="183"/>
      <c r="F35" s="183">
        <v>4</v>
      </c>
      <c r="G35" s="183"/>
      <c r="H35" s="183"/>
      <c r="I35" s="241">
        <f t="shared" si="0"/>
        <v>2</v>
      </c>
    </row>
    <row r="36" spans="1:14" x14ac:dyDescent="0.3">
      <c r="A36" s="183">
        <v>120</v>
      </c>
      <c r="B36" s="180" t="s">
        <v>653</v>
      </c>
      <c r="C36" s="193" t="s">
        <v>2658</v>
      </c>
      <c r="D36" s="241">
        <v>5.25</v>
      </c>
      <c r="E36" s="183" t="s">
        <v>627</v>
      </c>
      <c r="F36" s="183">
        <v>0.12</v>
      </c>
      <c r="G36" s="183"/>
      <c r="H36" s="183"/>
      <c r="I36" s="241">
        <f t="shared" si="0"/>
        <v>0.63</v>
      </c>
    </row>
    <row r="37" spans="1:14" ht="28.8" x14ac:dyDescent="0.3">
      <c r="A37" s="183">
        <v>130</v>
      </c>
      <c r="B37" s="180" t="s">
        <v>2344</v>
      </c>
      <c r="C37" s="193" t="s">
        <v>2659</v>
      </c>
      <c r="D37" s="241">
        <v>0.19</v>
      </c>
      <c r="E37" s="183"/>
      <c r="F37" s="183">
        <v>1</v>
      </c>
      <c r="G37" s="183"/>
      <c r="H37" s="183"/>
      <c r="I37" s="241">
        <f t="shared" si="0"/>
        <v>0.19</v>
      </c>
    </row>
    <row r="38" spans="1:14" s="432" customFormat="1" x14ac:dyDescent="0.3">
      <c r="A38" s="183">
        <v>140</v>
      </c>
      <c r="B38" s="180" t="s">
        <v>1912</v>
      </c>
      <c r="C38" s="193" t="s">
        <v>2660</v>
      </c>
      <c r="D38" s="241">
        <v>0.13</v>
      </c>
      <c r="E38" s="183"/>
      <c r="F38" s="183">
        <v>4</v>
      </c>
      <c r="G38" s="183"/>
      <c r="H38" s="183"/>
      <c r="I38" s="241">
        <f t="shared" si="0"/>
        <v>0.52</v>
      </c>
      <c r="J38" s="311"/>
      <c r="K38" s="311"/>
      <c r="L38" s="311"/>
      <c r="M38" s="311"/>
      <c r="N38" s="311"/>
    </row>
    <row r="39" spans="1:14" s="432" customFormat="1" x14ac:dyDescent="0.3">
      <c r="A39" s="183">
        <v>150</v>
      </c>
      <c r="B39" s="180" t="s">
        <v>2661</v>
      </c>
      <c r="C39" s="193" t="s">
        <v>1851</v>
      </c>
      <c r="D39" s="241">
        <v>1</v>
      </c>
      <c r="E39" s="183"/>
      <c r="F39" s="183">
        <v>2</v>
      </c>
      <c r="G39" s="183"/>
      <c r="H39" s="183"/>
      <c r="I39" s="241">
        <f t="shared" si="0"/>
        <v>2</v>
      </c>
      <c r="J39" s="311"/>
      <c r="K39" s="311"/>
      <c r="L39" s="311"/>
      <c r="M39" s="311"/>
      <c r="N39" s="311"/>
    </row>
    <row r="40" spans="1:14" s="432" customFormat="1" x14ac:dyDescent="0.3">
      <c r="A40" s="183">
        <v>160</v>
      </c>
      <c r="B40" s="180" t="s">
        <v>2662</v>
      </c>
      <c r="C40" s="193" t="s">
        <v>2663</v>
      </c>
      <c r="D40" s="241">
        <v>0.25</v>
      </c>
      <c r="E40" s="183"/>
      <c r="F40" s="183">
        <v>2</v>
      </c>
      <c r="G40" s="183"/>
      <c r="H40" s="183"/>
      <c r="I40" s="241">
        <f t="shared" si="0"/>
        <v>0.5</v>
      </c>
      <c r="J40" s="311"/>
      <c r="K40" s="311"/>
      <c r="L40" s="311"/>
      <c r="M40" s="311"/>
      <c r="N40" s="311"/>
    </row>
    <row r="41" spans="1:14" x14ac:dyDescent="0.3">
      <c r="A41" s="432"/>
      <c r="B41" s="432"/>
      <c r="C41" s="432"/>
      <c r="D41" s="432"/>
      <c r="E41" s="432"/>
      <c r="F41" s="432"/>
      <c r="G41" s="432"/>
      <c r="H41" s="836" t="s">
        <v>547</v>
      </c>
      <c r="I41" s="835">
        <f>SUM(I25:I40)</f>
        <v>14.188749999999999</v>
      </c>
      <c r="K41" s="432"/>
      <c r="L41" s="432"/>
      <c r="M41" s="432"/>
      <c r="N41" s="432"/>
    </row>
    <row r="43" spans="1:14" x14ac:dyDescent="0.3">
      <c r="A43" s="833" t="s">
        <v>544</v>
      </c>
      <c r="B43" s="833" t="s">
        <v>566</v>
      </c>
      <c r="C43" s="833" t="s">
        <v>549</v>
      </c>
      <c r="D43" s="833" t="s">
        <v>550</v>
      </c>
      <c r="E43" s="833" t="s">
        <v>567</v>
      </c>
      <c r="F43" s="833" t="s">
        <v>568</v>
      </c>
      <c r="G43" s="833" t="s">
        <v>569</v>
      </c>
      <c r="H43" s="833" t="s">
        <v>570</v>
      </c>
      <c r="I43" s="833" t="s">
        <v>28</v>
      </c>
      <c r="J43" s="833" t="s">
        <v>547</v>
      </c>
      <c r="K43" s="432"/>
      <c r="L43" s="432"/>
      <c r="M43" s="432"/>
      <c r="N43" s="432"/>
    </row>
    <row r="44" spans="1:14" ht="28.8" x14ac:dyDescent="0.3">
      <c r="A44" s="183">
        <v>10</v>
      </c>
      <c r="B44" s="190" t="s">
        <v>684</v>
      </c>
      <c r="C44" s="184" t="s">
        <v>2687</v>
      </c>
      <c r="D44" s="183">
        <v>0.01</v>
      </c>
      <c r="E44" s="183">
        <v>3</v>
      </c>
      <c r="F44" s="437" t="s">
        <v>573</v>
      </c>
      <c r="G44" s="183">
        <v>5</v>
      </c>
      <c r="H44" s="414" t="s">
        <v>573</v>
      </c>
      <c r="I44" s="438">
        <v>4</v>
      </c>
      <c r="J44" s="241">
        <f>D44*I44</f>
        <v>0.04</v>
      </c>
    </row>
    <row r="45" spans="1:14" ht="28.8" x14ac:dyDescent="0.3">
      <c r="A45" s="183">
        <v>20</v>
      </c>
      <c r="B45" s="190" t="s">
        <v>684</v>
      </c>
      <c r="C45" s="184" t="s">
        <v>2688</v>
      </c>
      <c r="D45" s="183">
        <v>0.01</v>
      </c>
      <c r="E45" s="183">
        <v>4</v>
      </c>
      <c r="F45" s="437" t="s">
        <v>573</v>
      </c>
      <c r="G45" s="183">
        <v>4</v>
      </c>
      <c r="H45" s="414" t="s">
        <v>573</v>
      </c>
      <c r="I45" s="438">
        <v>8</v>
      </c>
      <c r="J45" s="241">
        <f>D45*I45</f>
        <v>0.08</v>
      </c>
    </row>
    <row r="46" spans="1:14" x14ac:dyDescent="0.3">
      <c r="A46" s="183">
        <v>30</v>
      </c>
      <c r="B46" s="190" t="s">
        <v>1375</v>
      </c>
      <c r="C46" s="183" t="s">
        <v>2664</v>
      </c>
      <c r="D46" s="183">
        <v>0.28999999999999998</v>
      </c>
      <c r="E46" s="183">
        <v>8</v>
      </c>
      <c r="F46" s="437" t="s">
        <v>573</v>
      </c>
      <c r="G46" s="183">
        <v>45</v>
      </c>
      <c r="H46" s="414" t="s">
        <v>573</v>
      </c>
      <c r="I46" s="438">
        <v>4</v>
      </c>
      <c r="J46" s="241">
        <f>D46*I46</f>
        <v>1.1599999999999999</v>
      </c>
    </row>
    <row r="47" spans="1:14" x14ac:dyDescent="0.3">
      <c r="A47" s="183">
        <v>40</v>
      </c>
      <c r="B47" s="629" t="s">
        <v>618</v>
      </c>
      <c r="C47" s="183" t="s">
        <v>2665</v>
      </c>
      <c r="D47" s="183">
        <v>0.04</v>
      </c>
      <c r="E47" s="183">
        <v>8</v>
      </c>
      <c r="F47" s="437" t="s">
        <v>573</v>
      </c>
      <c r="G47" s="183"/>
      <c r="H47" s="414"/>
      <c r="I47" s="438">
        <v>4</v>
      </c>
      <c r="J47" s="241">
        <f>D47*I47</f>
        <v>0.16</v>
      </c>
    </row>
    <row r="48" spans="1:14" x14ac:dyDescent="0.3">
      <c r="A48" s="183">
        <v>50</v>
      </c>
      <c r="B48" s="629" t="s">
        <v>574</v>
      </c>
      <c r="C48" s="183" t="s">
        <v>2666</v>
      </c>
      <c r="D48" s="183">
        <v>0.01</v>
      </c>
      <c r="E48" s="183">
        <v>8</v>
      </c>
      <c r="F48" s="437" t="s">
        <v>573</v>
      </c>
      <c r="G48" s="183"/>
      <c r="H48" s="414"/>
      <c r="I48" s="438">
        <v>8</v>
      </c>
      <c r="J48" s="241">
        <f>D48*I48</f>
        <v>0.08</v>
      </c>
    </row>
    <row r="49" spans="1:14" ht="15.6" customHeight="1" x14ac:dyDescent="0.3">
      <c r="A49" s="432"/>
      <c r="B49" s="432"/>
      <c r="C49" s="432"/>
      <c r="D49" s="432"/>
      <c r="E49" s="432"/>
      <c r="F49" s="432"/>
      <c r="G49" s="432"/>
      <c r="H49" s="432"/>
      <c r="I49" s="834" t="s">
        <v>547</v>
      </c>
      <c r="J49" s="835">
        <f>SUM(J44:J48)</f>
        <v>1.5199999999999998</v>
      </c>
      <c r="K49" s="432"/>
      <c r="L49" s="432"/>
      <c r="M49" s="432"/>
      <c r="N49" s="432"/>
    </row>
    <row r="50" spans="1:14" ht="25.2" customHeight="1" x14ac:dyDescent="0.3">
      <c r="H50" s="326"/>
      <c r="I50" s="447"/>
    </row>
    <row r="51" spans="1:14" ht="13.2" customHeight="1" x14ac:dyDescent="0.3">
      <c r="A51" s="833" t="s">
        <v>544</v>
      </c>
      <c r="B51" s="833" t="s">
        <v>6</v>
      </c>
      <c r="C51" s="833" t="s">
        <v>549</v>
      </c>
      <c r="D51" s="833" t="s">
        <v>550</v>
      </c>
      <c r="E51" s="833" t="s">
        <v>551</v>
      </c>
      <c r="F51" s="833" t="s">
        <v>28</v>
      </c>
      <c r="G51" s="833" t="s">
        <v>691</v>
      </c>
      <c r="H51" s="833" t="s">
        <v>736</v>
      </c>
      <c r="I51" s="833" t="s">
        <v>547</v>
      </c>
      <c r="J51" s="432"/>
      <c r="K51" s="432"/>
      <c r="L51" s="432"/>
      <c r="M51" s="432"/>
      <c r="N51" s="432"/>
    </row>
    <row r="52" spans="1:14" ht="17.399999999999999" customHeight="1" x14ac:dyDescent="0.3">
      <c r="A52" s="183">
        <v>10</v>
      </c>
      <c r="B52" s="217" t="s">
        <v>693</v>
      </c>
      <c r="C52" s="183" t="s">
        <v>2667</v>
      </c>
      <c r="D52" s="241">
        <v>500</v>
      </c>
      <c r="E52" s="183" t="s">
        <v>695</v>
      </c>
      <c r="F52" s="183">
        <v>56</v>
      </c>
      <c r="G52" s="183">
        <v>3000</v>
      </c>
      <c r="H52" s="183">
        <v>1</v>
      </c>
      <c r="I52" s="385">
        <f>D52*F52/G52*H52</f>
        <v>9.3333333333333339</v>
      </c>
    </row>
    <row r="53" spans="1:14" x14ac:dyDescent="0.3">
      <c r="A53" s="432"/>
      <c r="B53" s="432"/>
      <c r="C53" s="432"/>
      <c r="D53" s="432"/>
      <c r="E53" s="432"/>
      <c r="F53" s="432"/>
      <c r="G53" s="432"/>
      <c r="H53" s="836" t="s">
        <v>547</v>
      </c>
      <c r="I53" s="835">
        <f>SUM(I52:I52)</f>
        <v>9.3333333333333339</v>
      </c>
    </row>
    <row r="54" spans="1:14" x14ac:dyDescent="0.3">
      <c r="J54" s="432"/>
      <c r="K54" s="432"/>
      <c r="L54" s="432"/>
      <c r="M54" s="432"/>
      <c r="N54" s="432"/>
    </row>
    <row r="56" spans="1:14" s="432" customFormat="1" x14ac:dyDescent="0.3">
      <c r="A56" s="311"/>
      <c r="B56" s="311"/>
      <c r="C56" s="311"/>
      <c r="D56" s="311"/>
      <c r="E56" s="311"/>
      <c r="F56" s="311"/>
      <c r="G56" s="311"/>
      <c r="H56" s="311"/>
      <c r="I56" s="311"/>
      <c r="J56" s="311"/>
      <c r="K56" s="311"/>
      <c r="L56" s="311"/>
      <c r="M56" s="311"/>
      <c r="N56" s="311"/>
    </row>
    <row r="58" spans="1:14" s="432" customFormat="1" x14ac:dyDescent="0.3">
      <c r="A58" s="311"/>
      <c r="B58" s="311"/>
      <c r="C58" s="311"/>
      <c r="D58" s="311"/>
      <c r="E58" s="311"/>
      <c r="F58" s="311"/>
      <c r="G58" s="311"/>
      <c r="H58" s="311"/>
      <c r="I58" s="311"/>
      <c r="J58" s="311"/>
      <c r="K58" s="311"/>
      <c r="L58" s="311"/>
      <c r="M58" s="311"/>
      <c r="N58" s="311"/>
    </row>
    <row r="61" spans="1:14" s="432" customFormat="1" x14ac:dyDescent="0.3">
      <c r="A61" s="311"/>
      <c r="B61" s="311"/>
      <c r="C61" s="311"/>
      <c r="D61" s="311"/>
      <c r="E61" s="311"/>
      <c r="F61" s="311"/>
      <c r="G61" s="311"/>
      <c r="H61" s="311"/>
      <c r="I61" s="311"/>
      <c r="J61" s="311"/>
      <c r="K61" s="311"/>
      <c r="L61" s="311"/>
      <c r="M61" s="311"/>
      <c r="N61" s="311"/>
    </row>
  </sheetData>
  <pageMargins left="0.7" right="0.7" top="0.75" bottom="0.75" header="0.3" footer="0.3"/>
  <pageSetup paperSize="9" scale="37" orientation="landscape" r:id="rId1"/>
  <rowBreaks count="1" manualBreakCount="1">
    <brk id="41" max="16383" man="1"/>
  </rowBreaks>
  <drawing r:id="rId2"/>
</worksheet>
</file>

<file path=xl/worksheets/sheet2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1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2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N11+I22</f>
        <v>9.0943483999999994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423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423</v>
      </c>
      <c r="D4" s="837" t="s">
        <v>541</v>
      </c>
      <c r="J4" s="837" t="s">
        <v>538</v>
      </c>
      <c r="M4" s="837" t="s">
        <v>539</v>
      </c>
      <c r="N4" s="336">
        <f>N1*N2</f>
        <v>36.377393599999998</v>
      </c>
    </row>
    <row r="5" spans="1:14" x14ac:dyDescent="0.3">
      <c r="A5" s="837" t="s">
        <v>537</v>
      </c>
      <c r="B5" s="199" t="s">
        <v>424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 t="s">
        <v>2668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606</v>
      </c>
      <c r="C10" s="183" t="s">
        <v>607</v>
      </c>
      <c r="D10" s="241">
        <v>2.25</v>
      </c>
      <c r="E10" s="459">
        <v>0.03</v>
      </c>
      <c r="F10" s="183" t="s">
        <v>644</v>
      </c>
      <c r="G10" s="183">
        <v>4.5999999999999999E-2</v>
      </c>
      <c r="H10" s="204" t="s">
        <v>644</v>
      </c>
      <c r="I10" s="269" t="s">
        <v>2689</v>
      </c>
      <c r="J10" s="844">
        <f>E10*G10</f>
        <v>1.3799999999999999E-3</v>
      </c>
      <c r="K10" s="207">
        <v>2.8000000000000001E-2</v>
      </c>
      <c r="L10" s="204">
        <v>7860</v>
      </c>
      <c r="M10" s="168">
        <v>1</v>
      </c>
      <c r="N10" s="385">
        <f>IF(J10="",D10*M10,D10*J10*K10*L10*M10)</f>
        <v>0.68334839999999997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841">
        <f>SUM(N10:N10)</f>
        <v>0.68334839999999997</v>
      </c>
    </row>
    <row r="12" spans="1:14" x14ac:dyDescent="0.3">
      <c r="H12" s="326"/>
      <c r="I12" s="325"/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IF('SU 02001'!$H14&lt;&gt;"",'SU 02001'!$D14*'SU 02001'!$F14*'SU 02001'!$H14,'SU 02001'!$D14*'SU 02001'!$F14)</f>
        <v>1.3</v>
      </c>
    </row>
    <row r="15" spans="1:14" ht="28.8" x14ac:dyDescent="0.3">
      <c r="A15" s="168">
        <v>20</v>
      </c>
      <c r="B15" s="180" t="s">
        <v>609</v>
      </c>
      <c r="C15" s="184" t="s">
        <v>1769</v>
      </c>
      <c r="D15" s="243">
        <v>0.04</v>
      </c>
      <c r="E15" s="180" t="s">
        <v>610</v>
      </c>
      <c r="F15" s="168">
        <v>13.6</v>
      </c>
      <c r="G15" s="184" t="s">
        <v>598</v>
      </c>
      <c r="H15" s="168">
        <v>3</v>
      </c>
      <c r="I15" s="323">
        <f>IF('SU 02001'!$H15&lt;&gt;"",'SU 02001'!$D15*'SU 02001'!$F15*'SU 02001'!$H15,'SU 02001'!$D15*'SU 02001'!$F15)</f>
        <v>1.6320000000000001</v>
      </c>
    </row>
    <row r="16" spans="1:14" ht="28.8" x14ac:dyDescent="0.3">
      <c r="A16" s="168">
        <v>30</v>
      </c>
      <c r="B16" s="180" t="s">
        <v>1876</v>
      </c>
      <c r="C16" s="168"/>
      <c r="D16" s="243">
        <v>0.65</v>
      </c>
      <c r="E16" s="180" t="s">
        <v>556</v>
      </c>
      <c r="F16" s="168">
        <v>1</v>
      </c>
      <c r="G16" s="168"/>
      <c r="H16" s="168"/>
      <c r="I16" s="323">
        <f>IF('SU 02001'!$H16&lt;&gt;"",'SU 02001'!$D16*'SU 02001'!$F16*'SU 02001'!$H16,'SU 02001'!$D16*'SU 02001'!$F16)</f>
        <v>0.65</v>
      </c>
    </row>
    <row r="17" spans="1:14" ht="28.8" x14ac:dyDescent="0.3">
      <c r="A17" s="168">
        <v>40</v>
      </c>
      <c r="B17" s="180" t="s">
        <v>791</v>
      </c>
      <c r="C17" s="193"/>
      <c r="D17" s="323">
        <v>0.35</v>
      </c>
      <c r="E17" s="168" t="s">
        <v>843</v>
      </c>
      <c r="F17" s="168">
        <v>1</v>
      </c>
      <c r="G17" s="184" t="s">
        <v>2671</v>
      </c>
      <c r="H17" s="168">
        <v>1.5</v>
      </c>
      <c r="I17" s="323">
        <f>IF('SU 02001'!$H17&lt;&gt;"",'SU 02001'!$D17*'SU 02001'!$F17*'SU 02001'!$H17,'SU 02001'!$D17*'SU 02001'!$F17)</f>
        <v>0.52499999999999991</v>
      </c>
    </row>
    <row r="18" spans="1:14" ht="43.2" x14ac:dyDescent="0.3">
      <c r="A18" s="168">
        <v>50</v>
      </c>
      <c r="B18" s="180" t="s">
        <v>589</v>
      </c>
      <c r="C18" s="171"/>
      <c r="D18" s="323">
        <v>1.3</v>
      </c>
      <c r="E18" s="168"/>
      <c r="F18" s="168">
        <v>1</v>
      </c>
      <c r="G18" s="168"/>
      <c r="H18" s="168"/>
      <c r="I18" s="323">
        <f>IF('SU 02001'!$H18&lt;&gt;"",'SU 02001'!$D18*'SU 02001'!$F18*'SU 02001'!$H18,'SU 02001'!$D18*'SU 02001'!$F18)</f>
        <v>1.3</v>
      </c>
    </row>
    <row r="19" spans="1:14" s="178" customFormat="1" ht="28.8" x14ac:dyDescent="0.3">
      <c r="A19" s="168">
        <v>60</v>
      </c>
      <c r="B19" s="180" t="s">
        <v>609</v>
      </c>
      <c r="C19" s="193" t="s">
        <v>1877</v>
      </c>
      <c r="D19" s="323">
        <v>0.04</v>
      </c>
      <c r="E19" s="168" t="s">
        <v>610</v>
      </c>
      <c r="F19" s="168">
        <v>9.3000000000000007</v>
      </c>
      <c r="G19" s="184" t="s">
        <v>598</v>
      </c>
      <c r="H19" s="168">
        <v>3</v>
      </c>
      <c r="I19" s="323">
        <f>IF('SU 02001'!$H19&lt;&gt;"",'SU 02001'!$D19*'SU 02001'!$F19*'SU 02001'!$H19,'SU 02001'!$D19*'SU 02001'!$F19)</f>
        <v>1.1160000000000001</v>
      </c>
      <c r="J19" s="161"/>
      <c r="K19" s="161"/>
      <c r="L19" s="161"/>
      <c r="M19" s="161"/>
      <c r="N19" s="161"/>
    </row>
    <row r="20" spans="1:14" s="178" customFormat="1" ht="43.2" x14ac:dyDescent="0.3">
      <c r="A20" s="168">
        <v>70</v>
      </c>
      <c r="B20" s="180" t="s">
        <v>589</v>
      </c>
      <c r="C20" s="171"/>
      <c r="D20" s="323">
        <v>1.3</v>
      </c>
      <c r="E20" s="168"/>
      <c r="F20" s="168">
        <v>1</v>
      </c>
      <c r="G20" s="168"/>
      <c r="H20" s="168"/>
      <c r="I20" s="323">
        <f>IF('SU 02001'!$H20&lt;&gt;"",'SU 02001'!$D20*'SU 02001'!$F20*'SU 02001'!$H20,'SU 02001'!$D20*'SU 02001'!$F20)</f>
        <v>1.3</v>
      </c>
      <c r="J20" s="161"/>
      <c r="K20" s="161"/>
      <c r="L20" s="161"/>
      <c r="M20" s="161"/>
      <c r="N20" s="161"/>
    </row>
    <row r="21" spans="1:14" ht="27.6" customHeight="1" x14ac:dyDescent="0.3">
      <c r="A21" s="168">
        <v>80</v>
      </c>
      <c r="B21" s="180" t="s">
        <v>609</v>
      </c>
      <c r="C21" s="193" t="s">
        <v>2672</v>
      </c>
      <c r="D21" s="323">
        <v>0.04</v>
      </c>
      <c r="E21" s="168" t="s">
        <v>610</v>
      </c>
      <c r="F21" s="168">
        <v>4.9000000000000004</v>
      </c>
      <c r="G21" s="184" t="s">
        <v>598</v>
      </c>
      <c r="H21" s="168">
        <v>3</v>
      </c>
      <c r="I21" s="323">
        <f>IF('SU 02001'!$H21&lt;&gt;"",'SU 02001'!$D21*'SU 02001'!$F21*'SU 02001'!$H21,'SU 02001'!$D21*'SU 02001'!$F21)</f>
        <v>0.58800000000000008</v>
      </c>
    </row>
    <row r="22" spans="1:14" s="178" customFormat="1" x14ac:dyDescent="0.3">
      <c r="H22" s="840" t="s">
        <v>547</v>
      </c>
      <c r="I22" s="841">
        <f>SUM(I14:I21)</f>
        <v>8.4109999999999996</v>
      </c>
      <c r="J22" s="161"/>
      <c r="K22" s="161"/>
      <c r="L22" s="161"/>
      <c r="M22" s="161"/>
      <c r="N22" s="161"/>
    </row>
    <row r="23" spans="1:14" x14ac:dyDescent="0.3">
      <c r="D23" s="248"/>
    </row>
    <row r="25" spans="1:14" s="178" customFormat="1" x14ac:dyDescent="0.3">
      <c r="A25" s="161"/>
      <c r="B25" s="161"/>
      <c r="C25" s="161"/>
      <c r="D25" s="161"/>
      <c r="E25" s="161"/>
      <c r="F25" s="161"/>
      <c r="G25" s="161"/>
      <c r="H25" s="161"/>
      <c r="I25" s="161"/>
      <c r="J25" s="161"/>
      <c r="K25" s="161"/>
      <c r="L25" s="161"/>
      <c r="M25" s="161"/>
      <c r="N25" s="161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x14ac:dyDescent="0.3">
      <c r="L29" s="178"/>
      <c r="M29" s="178"/>
      <c r="N29" s="178"/>
    </row>
    <row r="31" spans="1:14" x14ac:dyDescent="0.3">
      <c r="L31" s="178"/>
      <c r="M31" s="178"/>
      <c r="N31" s="178"/>
    </row>
    <row r="34" spans="1:14" x14ac:dyDescent="0.3">
      <c r="L34" s="178"/>
      <c r="M34" s="178"/>
      <c r="N34" s="178"/>
    </row>
    <row r="36" spans="1:14" s="178" customFormat="1" x14ac:dyDescent="0.3">
      <c r="A36" s="161"/>
      <c r="B36" s="161"/>
      <c r="C36" s="161"/>
      <c r="D36" s="161"/>
      <c r="E36" s="161"/>
      <c r="F36" s="161"/>
      <c r="G36" s="161"/>
      <c r="H36" s="161"/>
      <c r="I36" s="161"/>
      <c r="J36" s="161"/>
      <c r="K36" s="161"/>
      <c r="L36" s="161"/>
      <c r="M36" s="161"/>
      <c r="N36" s="161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</sheetData>
  <pageMargins left="0.7" right="0.7" top="0.75" bottom="0.75" header="0.3" footer="0.3"/>
  <pageSetup paperSize="9" scale="68" orientation="landscape" r:id="rId1"/>
</worksheet>
</file>

<file path=xl/worksheets/sheet2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2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N11+I18</f>
        <v>3.1523818481530936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423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417</v>
      </c>
      <c r="D4" s="837" t="s">
        <v>541</v>
      </c>
      <c r="J4" s="837" t="s">
        <v>538</v>
      </c>
      <c r="M4" s="837" t="s">
        <v>539</v>
      </c>
      <c r="N4" s="336">
        <f>N1*N2</f>
        <v>12.609527392612375</v>
      </c>
    </row>
    <row r="5" spans="1:14" x14ac:dyDescent="0.3">
      <c r="A5" s="837" t="s">
        <v>537</v>
      </c>
      <c r="B5" s="199" t="s">
        <v>426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634" t="s">
        <v>726</v>
      </c>
      <c r="C10" s="183" t="s">
        <v>607</v>
      </c>
      <c r="D10" s="241">
        <v>2.25</v>
      </c>
      <c r="E10" s="183">
        <v>1.7000000000000001E-2</v>
      </c>
      <c r="F10" s="183" t="s">
        <v>644</v>
      </c>
      <c r="G10" s="183"/>
      <c r="H10" s="204"/>
      <c r="I10" s="269" t="s">
        <v>2673</v>
      </c>
      <c r="J10" s="206">
        <f>(E10*E10*PI())/4</f>
        <v>2.2698006922186259E-4</v>
      </c>
      <c r="K10" s="207">
        <v>2.7E-2</v>
      </c>
      <c r="L10" s="204">
        <v>7860</v>
      </c>
      <c r="M10" s="183">
        <v>1</v>
      </c>
      <c r="N10" s="385">
        <f>IF(J10="",D10*M10,D10*J10*K10*L10*M10)</f>
        <v>0.10838184815309328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0.10838184815309328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IF('SU 02002'!$H14&lt;&gt;"",'SU 02002'!$D14*'SU 02002'!$F14*'SU 02002'!$H14,'SU 02002'!$D14*'SU 02002'!$F14)</f>
        <v>1.3</v>
      </c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2.7</v>
      </c>
      <c r="G15" s="184" t="s">
        <v>598</v>
      </c>
      <c r="H15" s="168">
        <v>3</v>
      </c>
      <c r="I15" s="323">
        <f>IF('SU 02002'!$H15&lt;&gt;"",'SU 02002'!$D15*'SU 02002'!$F15*'SU 02002'!$H15,'SU 02002'!$D15*'SU 02002'!$F15)</f>
        <v>0.32400000000000007</v>
      </c>
    </row>
    <row r="16" spans="1:14" ht="43.2" x14ac:dyDescent="0.3">
      <c r="A16" s="168">
        <v>30</v>
      </c>
      <c r="B16" s="180" t="s">
        <v>589</v>
      </c>
      <c r="C16" s="171"/>
      <c r="D16" s="323">
        <v>1.3</v>
      </c>
      <c r="E16" s="168"/>
      <c r="F16" s="168">
        <v>1</v>
      </c>
      <c r="G16" s="168"/>
      <c r="H16" s="168"/>
      <c r="I16" s="323">
        <f>IF('SU 02002'!$H16&lt;&gt;"",'SU 02002'!$D16*'SU 02002'!$F16*'SU 02002'!$H16,'SU 02002'!$D16*'SU 02002'!$F16)</f>
        <v>1.3</v>
      </c>
    </row>
    <row r="17" spans="1:14" ht="28.8" x14ac:dyDescent="0.3">
      <c r="A17" s="168">
        <v>40</v>
      </c>
      <c r="B17" s="180" t="s">
        <v>609</v>
      </c>
      <c r="C17" s="193"/>
      <c r="D17" s="323">
        <v>0.04</v>
      </c>
      <c r="E17" s="168" t="s">
        <v>610</v>
      </c>
      <c r="F17" s="168">
        <v>1</v>
      </c>
      <c r="G17" s="184" t="s">
        <v>598</v>
      </c>
      <c r="H17" s="168">
        <v>3</v>
      </c>
      <c r="I17" s="323">
        <f>IF('SU 02002'!$H17&lt;&gt;"",'SU 02002'!$D17*'SU 02002'!$F17*'SU 02002'!$H17,'SU 02002'!$D17*'SU 02002'!$F17)</f>
        <v>0.12</v>
      </c>
    </row>
    <row r="18" spans="1:14" x14ac:dyDescent="0.3">
      <c r="A18" s="178"/>
      <c r="B18" s="178"/>
      <c r="C18" s="178"/>
      <c r="D18" s="178"/>
      <c r="E18" s="178"/>
      <c r="F18" s="178"/>
      <c r="G18" s="178"/>
      <c r="H18" s="840" t="s">
        <v>547</v>
      </c>
      <c r="I18" s="841">
        <f>SUM(I14:I17)</f>
        <v>3.0440000000000005</v>
      </c>
    </row>
    <row r="19" spans="1:14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1" spans="1:14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3" spans="1:14" x14ac:dyDescent="0.3">
      <c r="J23" s="178"/>
      <c r="K23" s="178"/>
      <c r="L23" s="178"/>
      <c r="M23" s="178"/>
      <c r="N23" s="178"/>
    </row>
    <row r="25" spans="1:14" x14ac:dyDescent="0.3">
      <c r="K25" s="178"/>
      <c r="L25" s="178"/>
      <c r="M25" s="178"/>
      <c r="N25" s="178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2" spans="1:14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</row>
    <row r="34" spans="1:14" x14ac:dyDescent="0.3">
      <c r="K34" s="178"/>
      <c r="L34" s="178"/>
      <c r="M34" s="178"/>
      <c r="N34" s="178"/>
    </row>
    <row r="36" spans="1:14" x14ac:dyDescent="0.3">
      <c r="K36" s="178"/>
      <c r="L36" s="178"/>
      <c r="M36" s="178"/>
      <c r="N36" s="178"/>
    </row>
    <row r="39" spans="1:14" x14ac:dyDescent="0.3">
      <c r="K39" s="178"/>
      <c r="L39" s="178"/>
      <c r="M39" s="178"/>
      <c r="N39" s="178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46" spans="1:14" s="178" customFormat="1" x14ac:dyDescent="0.3">
      <c r="A46" s="161"/>
      <c r="B46" s="161"/>
      <c r="C46" s="161"/>
      <c r="D46" s="161"/>
      <c r="E46" s="161"/>
      <c r="F46" s="161"/>
      <c r="G46" s="161"/>
      <c r="H46" s="161"/>
      <c r="I46" s="161"/>
      <c r="J46" s="161"/>
      <c r="K46" s="161"/>
      <c r="L46" s="161"/>
      <c r="M46" s="161"/>
      <c r="N46" s="161"/>
    </row>
  </sheetData>
  <pageMargins left="0.7" right="0.7" top="0.75" bottom="0.75" header="0.3" footer="0.3"/>
  <pageSetup paperSize="9" scale="67" orientation="landscape" r:id="rId1"/>
</worksheet>
</file>

<file path=xl/worksheets/sheet2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8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3320312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20.77734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N11+I20</f>
        <v>4.3912299199999998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423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2640</v>
      </c>
      <c r="D4" s="837" t="s">
        <v>541</v>
      </c>
      <c r="J4" s="837" t="s">
        <v>538</v>
      </c>
      <c r="M4" s="837" t="s">
        <v>539</v>
      </c>
      <c r="N4" s="336">
        <f>N1*N2</f>
        <v>17.564919679999999</v>
      </c>
    </row>
    <row r="5" spans="1:14" x14ac:dyDescent="0.3">
      <c r="A5" s="837" t="s">
        <v>537</v>
      </c>
      <c r="B5" s="199" t="s">
        <v>427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634" t="s">
        <v>726</v>
      </c>
      <c r="C10" s="183" t="s">
        <v>607</v>
      </c>
      <c r="D10" s="241">
        <v>2.25</v>
      </c>
      <c r="E10" s="183">
        <v>4.1000000000000002E-2</v>
      </c>
      <c r="F10" s="183" t="s">
        <v>644</v>
      </c>
      <c r="G10" s="183">
        <v>3.2000000000000001E-2</v>
      </c>
      <c r="H10" s="204" t="s">
        <v>644</v>
      </c>
      <c r="I10" s="269" t="s">
        <v>2675</v>
      </c>
      <c r="J10" s="206">
        <f>E10*G10</f>
        <v>1.312E-3</v>
      </c>
      <c r="K10" s="207">
        <v>1.0999999999999999E-2</v>
      </c>
      <c r="L10" s="204">
        <v>7860</v>
      </c>
      <c r="M10" s="183">
        <v>1</v>
      </c>
      <c r="N10" s="385">
        <f>IF(J10="",D10*M10,D10*J10*K10*L10*M10)</f>
        <v>0.25522992000000005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0.25522992000000005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IF('SU 02003'!$H14&lt;&gt;"",'SU 02003'!$D14*'SU 02003'!$F14*'SU 02003'!$H14,'SU 02003'!$D14*'SU 02003'!$F14)</f>
        <v>1.3</v>
      </c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2.8</v>
      </c>
      <c r="G15" s="184" t="s">
        <v>598</v>
      </c>
      <c r="H15" s="168">
        <v>3</v>
      </c>
      <c r="I15" s="323">
        <f>IF('SU 02003'!$H15&lt;&gt;"",'SU 02003'!$D15*'SU 02003'!$F15*'SU 02003'!$H15,'SU 02003'!$D15*'SU 02003'!$F15)</f>
        <v>0.33599999999999997</v>
      </c>
    </row>
    <row r="16" spans="1:14" ht="28.8" x14ac:dyDescent="0.3">
      <c r="A16" s="168">
        <v>30</v>
      </c>
      <c r="B16" s="315" t="s">
        <v>609</v>
      </c>
      <c r="C16" s="193" t="s">
        <v>2690</v>
      </c>
      <c r="D16" s="323">
        <v>0.04</v>
      </c>
      <c r="E16" s="168" t="s">
        <v>610</v>
      </c>
      <c r="F16" s="168">
        <v>3.5</v>
      </c>
      <c r="G16" s="184" t="s">
        <v>598</v>
      </c>
      <c r="H16" s="168">
        <v>3</v>
      </c>
      <c r="I16" s="323">
        <f>IF('SU 02003'!$H16&lt;&gt;"",'SU 02003'!$D16*'SU 02003'!$F16*'SU 02003'!$H16,'SU 02003'!$D16*'SU 02003'!$F16)</f>
        <v>0.42000000000000004</v>
      </c>
    </row>
    <row r="17" spans="1:14" ht="43.2" x14ac:dyDescent="0.3">
      <c r="A17" s="168">
        <v>40</v>
      </c>
      <c r="B17" s="180" t="s">
        <v>589</v>
      </c>
      <c r="C17" s="171"/>
      <c r="D17" s="323">
        <v>1.3</v>
      </c>
      <c r="E17" s="168"/>
      <c r="F17" s="168">
        <v>1</v>
      </c>
      <c r="G17" s="168"/>
      <c r="H17" s="168"/>
      <c r="I17" s="323">
        <f>IF('SU 02003'!$H17&lt;&gt;"",'SU 02003'!$D17*'SU 02003'!$F17*'SU 02003'!$H17,'SU 02003'!$D17*'SU 02003'!$F17)</f>
        <v>1.3</v>
      </c>
    </row>
    <row r="18" spans="1:14" ht="28.8" x14ac:dyDescent="0.3">
      <c r="A18" s="168">
        <v>50</v>
      </c>
      <c r="B18" s="180" t="s">
        <v>791</v>
      </c>
      <c r="C18" s="171"/>
      <c r="D18" s="323">
        <v>0.35</v>
      </c>
      <c r="E18" s="168"/>
      <c r="F18" s="168">
        <v>2</v>
      </c>
      <c r="G18" s="168"/>
      <c r="H18" s="168"/>
      <c r="I18" s="323">
        <f>IF('SU 02003'!$H18&lt;&gt;"",'SU 02003'!$D18*'SU 02003'!$F18*'SU 02003'!$H18,'SU 02003'!$D18*'SU 02003'!$F18)</f>
        <v>0.7</v>
      </c>
    </row>
    <row r="19" spans="1:14" ht="43.2" x14ac:dyDescent="0.3">
      <c r="A19" s="168">
        <v>60</v>
      </c>
      <c r="B19" s="180" t="s">
        <v>862</v>
      </c>
      <c r="C19" s="193"/>
      <c r="D19" s="323">
        <v>0.1</v>
      </c>
      <c r="E19" s="168" t="s">
        <v>593</v>
      </c>
      <c r="F19" s="168">
        <v>0.8</v>
      </c>
      <c r="G19" s="168"/>
      <c r="H19" s="168"/>
      <c r="I19" s="323">
        <f>IF('SU 02003'!$H19&lt;&gt;"",'SU 02003'!$D19*'SU 02003'!$F19*'SU 02003'!$H19,'SU 02003'!$D19*'SU 02003'!$F19)</f>
        <v>8.0000000000000016E-2</v>
      </c>
    </row>
    <row r="20" spans="1:14" x14ac:dyDescent="0.3">
      <c r="A20" s="178"/>
      <c r="B20" s="178"/>
      <c r="C20" s="178"/>
      <c r="D20" s="178"/>
      <c r="E20" s="178"/>
      <c r="F20" s="178"/>
      <c r="G20" s="178"/>
      <c r="H20" s="840" t="s">
        <v>547</v>
      </c>
      <c r="I20" s="841">
        <f>SUM(I14:I19)</f>
        <v>4.1360000000000001</v>
      </c>
    </row>
    <row r="21" spans="1:14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3" spans="1:14" s="178" customFormat="1" x14ac:dyDescent="0.3">
      <c r="A23" s="161"/>
      <c r="B23" s="161"/>
      <c r="C23" s="161"/>
      <c r="D23" s="161"/>
      <c r="E23" s="161"/>
      <c r="F23" s="161"/>
      <c r="G23" s="161"/>
      <c r="H23" s="161"/>
      <c r="I23" s="161"/>
      <c r="J23" s="161"/>
      <c r="K23" s="161"/>
      <c r="L23" s="161"/>
      <c r="M23" s="161"/>
      <c r="N23" s="161"/>
    </row>
    <row r="25" spans="1:14" x14ac:dyDescent="0.3">
      <c r="J25" s="178"/>
      <c r="K25" s="178"/>
      <c r="L25" s="178"/>
      <c r="M25" s="178"/>
      <c r="N25" s="178"/>
    </row>
    <row r="27" spans="1:14" x14ac:dyDescent="0.3">
      <c r="K27" s="178"/>
      <c r="L27" s="178"/>
      <c r="M27" s="178"/>
      <c r="N27" s="178"/>
    </row>
    <row r="32" spans="1:14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</row>
    <row r="34" spans="1:14" s="178" customFormat="1" x14ac:dyDescent="0.3">
      <c r="A34" s="161"/>
      <c r="B34" s="161"/>
      <c r="C34" s="161"/>
      <c r="D34" s="161"/>
      <c r="E34" s="161"/>
      <c r="F34" s="161"/>
      <c r="G34" s="161"/>
      <c r="H34" s="161"/>
      <c r="I34" s="161"/>
      <c r="J34" s="161"/>
      <c r="K34" s="161"/>
      <c r="L34" s="161"/>
      <c r="M34" s="161"/>
      <c r="N34" s="161"/>
    </row>
    <row r="36" spans="1:14" x14ac:dyDescent="0.3">
      <c r="K36" s="178"/>
      <c r="L36" s="178"/>
      <c r="M36" s="178"/>
      <c r="N36" s="178"/>
    </row>
    <row r="38" spans="1:14" x14ac:dyDescent="0.3">
      <c r="K38" s="178"/>
      <c r="L38" s="178"/>
      <c r="M38" s="178"/>
      <c r="N38" s="178"/>
    </row>
    <row r="41" spans="1:14" x14ac:dyDescent="0.3">
      <c r="K41" s="178"/>
      <c r="L41" s="178"/>
      <c r="M41" s="178"/>
      <c r="N41" s="178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45" spans="1:14" s="178" customFormat="1" x14ac:dyDescent="0.3">
      <c r="A45" s="161"/>
      <c r="B45" s="161"/>
      <c r="C45" s="161"/>
      <c r="D45" s="161"/>
      <c r="E45" s="161"/>
      <c r="F45" s="161"/>
      <c r="G45" s="161"/>
      <c r="H45" s="161"/>
      <c r="I45" s="161"/>
      <c r="J45" s="161"/>
      <c r="K45" s="161"/>
      <c r="L45" s="161"/>
      <c r="M45" s="161"/>
      <c r="N45" s="161"/>
    </row>
    <row r="48" spans="1:14" s="178" customFormat="1" x14ac:dyDescent="0.3">
      <c r="A48" s="161"/>
      <c r="B48" s="161"/>
      <c r="C48" s="161"/>
      <c r="D48" s="161"/>
      <c r="E48" s="161"/>
      <c r="F48" s="161"/>
      <c r="G48" s="161"/>
      <c r="H48" s="161"/>
      <c r="I48" s="161"/>
      <c r="J48" s="161"/>
      <c r="K48" s="161"/>
      <c r="L48" s="161"/>
      <c r="M48" s="161"/>
      <c r="N48" s="161"/>
    </row>
  </sheetData>
  <pageMargins left="0.7" right="0.7" top="0.75" bottom="0.75" header="0.3" footer="0.3"/>
  <pageSetup paperSize="9" scale="66" orientation="landscape" r:id="rId1"/>
</worksheet>
</file>

<file path=xl/worksheets/sheet2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60"/>
  <sheetViews>
    <sheetView showGridLines="0" workbookViewId="0"/>
  </sheetViews>
  <sheetFormatPr defaultColWidth="9.109375" defaultRowHeight="14.4" x14ac:dyDescent="0.3"/>
  <cols>
    <col min="1" max="1" width="15" style="248" bestFit="1" customWidth="1"/>
    <col min="2" max="2" width="22.44140625" style="248" customWidth="1"/>
    <col min="3" max="3" width="20.6640625" style="248" customWidth="1"/>
    <col min="4" max="4" width="13.5546875" style="248" bestFit="1" customWidth="1"/>
    <col min="5" max="5" width="14.109375" style="248" customWidth="1"/>
    <col min="6" max="6" width="12" style="248" bestFit="1" customWidth="1"/>
    <col min="7" max="7" width="16.88671875" style="248" customWidth="1"/>
    <col min="8" max="8" width="13.88671875" style="248" bestFit="1" customWidth="1"/>
    <col min="9" max="9" width="16.33203125" style="248" customWidth="1"/>
    <col min="10" max="10" width="13.88671875" style="248" bestFit="1" customWidth="1"/>
    <col min="11" max="11" width="10.44140625" style="248" bestFit="1" customWidth="1"/>
    <col min="12" max="12" width="11.33203125" style="248" bestFit="1" customWidth="1"/>
    <col min="13" max="13" width="19.6640625" style="248" customWidth="1"/>
    <col min="14" max="14" width="16.109375" style="248" bestFit="1" customWidth="1"/>
    <col min="15" max="15" width="9.109375" style="248"/>
    <col min="16" max="16" width="9.44140625" style="248" bestFit="1" customWidth="1"/>
    <col min="17" max="18" width="9.109375" style="248"/>
    <col min="19" max="19" width="10.44140625" style="248" bestFit="1" customWidth="1"/>
    <col min="20" max="20" width="9.44140625" style="248" bestFit="1" customWidth="1"/>
    <col min="21" max="21" width="9.109375" style="248"/>
    <col min="22" max="22" width="9.44140625" style="248" bestFit="1" customWidth="1"/>
    <col min="23" max="23" width="9.109375" style="248"/>
    <col min="24" max="25" width="10.109375" style="248" bestFit="1" customWidth="1"/>
    <col min="26" max="28" width="9.33203125" style="248" bestFit="1" customWidth="1"/>
    <col min="29" max="16384" width="9.109375" style="248"/>
  </cols>
  <sheetData>
    <row r="1" spans="1:14" x14ac:dyDescent="0.3">
      <c r="A1" s="845" t="s">
        <v>523</v>
      </c>
      <c r="B1" s="248" t="s">
        <v>524</v>
      </c>
      <c r="J1" s="846" t="s">
        <v>528</v>
      </c>
      <c r="K1" s="250">
        <v>81</v>
      </c>
      <c r="M1" s="845" t="s">
        <v>546</v>
      </c>
      <c r="N1" s="364">
        <f>N11+I32</f>
        <v>35.859010900000015</v>
      </c>
    </row>
    <row r="2" spans="1:14" x14ac:dyDescent="0.3">
      <c r="A2" s="845" t="s">
        <v>532</v>
      </c>
      <c r="B2" s="248" t="s">
        <v>411</v>
      </c>
      <c r="C2" s="556" t="s">
        <v>732</v>
      </c>
      <c r="D2" s="851" t="s">
        <v>536</v>
      </c>
      <c r="M2" s="845" t="s">
        <v>533</v>
      </c>
      <c r="N2" s="296">
        <v>2</v>
      </c>
    </row>
    <row r="3" spans="1:14" x14ac:dyDescent="0.3">
      <c r="A3" s="845" t="s">
        <v>534</v>
      </c>
      <c r="B3" s="248" t="s">
        <v>423</v>
      </c>
      <c r="D3" s="845" t="s">
        <v>538</v>
      </c>
      <c r="J3" s="845" t="s">
        <v>536</v>
      </c>
    </row>
    <row r="4" spans="1:14" ht="28.8" x14ac:dyDescent="0.3">
      <c r="A4" s="845" t="s">
        <v>545</v>
      </c>
      <c r="B4" s="248" t="s">
        <v>2678</v>
      </c>
      <c r="D4" s="845" t="s">
        <v>541</v>
      </c>
      <c r="J4" s="845" t="s">
        <v>538</v>
      </c>
      <c r="M4" s="845" t="s">
        <v>539</v>
      </c>
      <c r="N4" s="364">
        <f>N1*N2</f>
        <v>71.718021800000031</v>
      </c>
    </row>
    <row r="5" spans="1:14" x14ac:dyDescent="0.3">
      <c r="A5" s="845" t="s">
        <v>537</v>
      </c>
      <c r="B5" s="604" t="s">
        <v>428</v>
      </c>
      <c r="J5" s="845" t="s">
        <v>541</v>
      </c>
    </row>
    <row r="6" spans="1:14" x14ac:dyDescent="0.3">
      <c r="A6" s="845" t="s">
        <v>540</v>
      </c>
      <c r="B6" s="248" t="s">
        <v>36</v>
      </c>
    </row>
    <row r="7" spans="1:14" x14ac:dyDescent="0.3">
      <c r="A7" s="845" t="s">
        <v>542</v>
      </c>
    </row>
    <row r="9" spans="1:14" s="278" customFormat="1" x14ac:dyDescent="0.3">
      <c r="A9" s="847" t="s">
        <v>544</v>
      </c>
      <c r="B9" s="847" t="s">
        <v>581</v>
      </c>
      <c r="C9" s="847" t="s">
        <v>549</v>
      </c>
      <c r="D9" s="847" t="s">
        <v>550</v>
      </c>
      <c r="E9" s="847" t="s">
        <v>567</v>
      </c>
      <c r="F9" s="847" t="s">
        <v>568</v>
      </c>
      <c r="G9" s="847" t="s">
        <v>569</v>
      </c>
      <c r="H9" s="847" t="s">
        <v>570</v>
      </c>
      <c r="I9" s="847" t="s">
        <v>582</v>
      </c>
      <c r="J9" s="847" t="s">
        <v>583</v>
      </c>
      <c r="K9" s="847" t="s">
        <v>584</v>
      </c>
      <c r="L9" s="847" t="s">
        <v>585</v>
      </c>
      <c r="M9" s="847" t="s">
        <v>28</v>
      </c>
      <c r="N9" s="847" t="s">
        <v>547</v>
      </c>
    </row>
    <row r="10" spans="1:14" s="311" customFormat="1" ht="28.8" x14ac:dyDescent="0.3">
      <c r="A10" s="183">
        <v>10</v>
      </c>
      <c r="B10" s="190" t="s">
        <v>1275</v>
      </c>
      <c r="C10" s="183" t="s">
        <v>607</v>
      </c>
      <c r="D10" s="241">
        <v>2.25</v>
      </c>
      <c r="E10" s="183">
        <v>6.8000000000000005E-2</v>
      </c>
      <c r="F10" s="183" t="s">
        <v>644</v>
      </c>
      <c r="G10" s="183">
        <v>6.9000000000000006E-2</v>
      </c>
      <c r="H10" s="204" t="s">
        <v>644</v>
      </c>
      <c r="I10" s="269" t="s">
        <v>2691</v>
      </c>
      <c r="J10" s="632">
        <f>E10*G10</f>
        <v>4.6920000000000009E-3</v>
      </c>
      <c r="K10" s="207">
        <v>4.4999999999999998E-2</v>
      </c>
      <c r="L10" s="204">
        <v>7860</v>
      </c>
      <c r="M10" s="168">
        <v>1</v>
      </c>
      <c r="N10" s="385">
        <f>IF(J10="",D10*M10,D10*J10*K10*L10*M10)</f>
        <v>3.7340109000000008</v>
      </c>
    </row>
    <row r="11" spans="1:14" x14ac:dyDescent="0.3">
      <c r="A11" s="278"/>
      <c r="B11" s="278"/>
      <c r="C11" s="278"/>
      <c r="D11" s="278"/>
      <c r="E11" s="278"/>
      <c r="F11" s="278"/>
      <c r="G11" s="278"/>
      <c r="H11" s="278"/>
      <c r="I11" s="278"/>
      <c r="J11" s="278"/>
      <c r="K11" s="278"/>
      <c r="L11" s="278"/>
      <c r="M11" s="848" t="s">
        <v>547</v>
      </c>
      <c r="N11" s="849">
        <f>SUM(N10:N10)</f>
        <v>3.7340109000000008</v>
      </c>
    </row>
    <row r="13" spans="1:14" x14ac:dyDescent="0.3">
      <c r="A13" s="847" t="s">
        <v>544</v>
      </c>
      <c r="B13" s="847" t="s">
        <v>548</v>
      </c>
      <c r="C13" s="847" t="s">
        <v>549</v>
      </c>
      <c r="D13" s="847" t="s">
        <v>550</v>
      </c>
      <c r="E13" s="847" t="s">
        <v>551</v>
      </c>
      <c r="F13" s="847" t="s">
        <v>28</v>
      </c>
      <c r="G13" s="847" t="s">
        <v>552</v>
      </c>
      <c r="H13" s="847" t="s">
        <v>553</v>
      </c>
      <c r="I13" s="847" t="s">
        <v>547</v>
      </c>
      <c r="J13" s="278"/>
      <c r="K13" s="278"/>
      <c r="L13" s="278"/>
      <c r="M13" s="278"/>
      <c r="N13" s="278"/>
    </row>
    <row r="14" spans="1:14" ht="28.8" x14ac:dyDescent="0.3">
      <c r="A14" s="184">
        <v>10</v>
      </c>
      <c r="B14" s="180" t="s">
        <v>589</v>
      </c>
      <c r="C14" s="193"/>
      <c r="D14" s="362">
        <v>1.3</v>
      </c>
      <c r="E14" s="184"/>
      <c r="F14" s="184">
        <v>1</v>
      </c>
      <c r="G14" s="184"/>
      <c r="H14" s="184"/>
      <c r="I14" s="362">
        <f>IF('SU 02004'!$H14&lt;&gt;"",'SU 02004'!$D14*'SU 02004'!$F14*'SU 02004'!$H14,'SU 02004'!$D14*'SU 02004'!$F14)</f>
        <v>1.3</v>
      </c>
    </row>
    <row r="15" spans="1:14" x14ac:dyDescent="0.3">
      <c r="A15" s="184">
        <v>20</v>
      </c>
      <c r="B15" s="180" t="s">
        <v>609</v>
      </c>
      <c r="C15" s="193" t="s">
        <v>1769</v>
      </c>
      <c r="D15" s="362">
        <v>0.04</v>
      </c>
      <c r="E15" s="184" t="s">
        <v>610</v>
      </c>
      <c r="F15" s="184">
        <v>141.80000000000001</v>
      </c>
      <c r="G15" s="184" t="s">
        <v>598</v>
      </c>
      <c r="H15" s="168">
        <v>3</v>
      </c>
      <c r="I15" s="362">
        <f>IF('SU 02004'!$H15&lt;&gt;"",'SU 02004'!$D15*'SU 02004'!$F15*'SU 02004'!$H15,'SU 02004'!$D15*'SU 02004'!$F15)</f>
        <v>17.016000000000002</v>
      </c>
    </row>
    <row r="16" spans="1:14" ht="28.8" x14ac:dyDescent="0.3">
      <c r="A16" s="184">
        <v>30</v>
      </c>
      <c r="B16" s="180" t="s">
        <v>589</v>
      </c>
      <c r="C16" s="193"/>
      <c r="D16" s="362">
        <v>1.3</v>
      </c>
      <c r="E16" s="184"/>
      <c r="F16" s="184">
        <v>1</v>
      </c>
      <c r="G16" s="184"/>
      <c r="H16" s="184"/>
      <c r="I16" s="362">
        <f>IF('SU 02004'!$H16&lt;&gt;"",'SU 02004'!$D16*'SU 02004'!$F16*'SU 02004'!$H16,'SU 02004'!$D16*'SU 02004'!$F16)</f>
        <v>1.3</v>
      </c>
    </row>
    <row r="17" spans="1:9" x14ac:dyDescent="0.3">
      <c r="A17" s="184">
        <v>40</v>
      </c>
      <c r="B17" s="180" t="s">
        <v>609</v>
      </c>
      <c r="C17" s="193"/>
      <c r="D17" s="362">
        <v>0.04</v>
      </c>
      <c r="E17" s="184" t="s">
        <v>610</v>
      </c>
      <c r="F17" s="184">
        <v>6.9</v>
      </c>
      <c r="G17" s="184" t="s">
        <v>598</v>
      </c>
      <c r="H17" s="168">
        <v>3</v>
      </c>
      <c r="I17" s="362">
        <f>IF('SU 02004'!$H17&lt;&gt;"",'SU 02004'!$D17*'SU 02004'!$F17*'SU 02004'!$H17,'SU 02004'!$D17*'SU 02004'!$F17)</f>
        <v>0.82800000000000007</v>
      </c>
    </row>
    <row r="18" spans="1:9" ht="28.8" x14ac:dyDescent="0.3">
      <c r="A18" s="184">
        <v>50</v>
      </c>
      <c r="B18" s="180" t="s">
        <v>589</v>
      </c>
      <c r="C18" s="193"/>
      <c r="D18" s="362">
        <v>1.3</v>
      </c>
      <c r="E18" s="184"/>
      <c r="F18" s="184">
        <v>1</v>
      </c>
      <c r="G18" s="184"/>
      <c r="H18" s="184"/>
      <c r="I18" s="362">
        <f>IF('SU 02004'!$H18&lt;&gt;"",'SU 02004'!$D18*'SU 02004'!$F18*'SU 02004'!$H18,'SU 02004'!$D18*'SU 02004'!$F18)</f>
        <v>1.3</v>
      </c>
    </row>
    <row r="19" spans="1:9" ht="28.8" x14ac:dyDescent="0.3">
      <c r="A19" s="184">
        <v>60</v>
      </c>
      <c r="B19" s="180" t="s">
        <v>609</v>
      </c>
      <c r="C19" s="193" t="s">
        <v>2692</v>
      </c>
      <c r="D19" s="362">
        <v>0.04</v>
      </c>
      <c r="E19" s="184" t="s">
        <v>610</v>
      </c>
      <c r="F19" s="184">
        <v>3.5</v>
      </c>
      <c r="G19" s="184" t="s">
        <v>598</v>
      </c>
      <c r="H19" s="168">
        <v>3</v>
      </c>
      <c r="I19" s="362">
        <f>IF('SU 02004'!$H19&lt;&gt;"",'SU 02004'!$D19*'SU 02004'!$F19*'SU 02004'!$H19,'SU 02004'!$D19*'SU 02004'!$F19)</f>
        <v>0.42000000000000004</v>
      </c>
    </row>
    <row r="20" spans="1:9" ht="28.8" x14ac:dyDescent="0.3">
      <c r="A20" s="184">
        <v>70</v>
      </c>
      <c r="B20" s="180" t="s">
        <v>589</v>
      </c>
      <c r="C20" s="193"/>
      <c r="D20" s="362">
        <v>1.3</v>
      </c>
      <c r="E20" s="184"/>
      <c r="F20" s="184">
        <v>1</v>
      </c>
      <c r="G20" s="184"/>
      <c r="H20" s="184"/>
      <c r="I20" s="362">
        <f>IF('SU 02004'!$H20&lt;&gt;"",'SU 02004'!$D20*'SU 02004'!$F20*'SU 02004'!$H20,'SU 02004'!$D20*'SU 02004'!$F20)</f>
        <v>1.3</v>
      </c>
    </row>
    <row r="21" spans="1:9" ht="28.8" x14ac:dyDescent="0.3">
      <c r="A21" s="184">
        <v>80</v>
      </c>
      <c r="B21" s="180" t="s">
        <v>609</v>
      </c>
      <c r="C21" s="193" t="s">
        <v>2693</v>
      </c>
      <c r="D21" s="362">
        <v>0.04</v>
      </c>
      <c r="E21" s="184" t="s">
        <v>610</v>
      </c>
      <c r="F21" s="184">
        <v>3.5</v>
      </c>
      <c r="G21" s="184" t="s">
        <v>598</v>
      </c>
      <c r="H21" s="168">
        <v>3</v>
      </c>
      <c r="I21" s="362">
        <f>IF('SU 02004'!$H21&lt;&gt;"",'SU 02004'!$D21*'SU 02004'!$F21*'SU 02004'!$H21,'SU 02004'!$D21*'SU 02004'!$F21)</f>
        <v>0.42000000000000004</v>
      </c>
    </row>
    <row r="22" spans="1:9" ht="28.8" x14ac:dyDescent="0.3">
      <c r="A22" s="184">
        <v>90</v>
      </c>
      <c r="B22" s="180" t="s">
        <v>589</v>
      </c>
      <c r="C22" s="184"/>
      <c r="D22" s="184">
        <v>1.3</v>
      </c>
      <c r="E22" s="184"/>
      <c r="F22" s="184">
        <v>1</v>
      </c>
      <c r="G22" s="184"/>
      <c r="H22" s="184"/>
      <c r="I22" s="362">
        <f>IF('SU 02004'!$H22&lt;&gt;"",'SU 02004'!$D22*'SU 02004'!$F22*'SU 02004'!$H22,'SU 02004'!$D22*'SU 02004'!$F22)</f>
        <v>1.3</v>
      </c>
    </row>
    <row r="23" spans="1:9" x14ac:dyDescent="0.3">
      <c r="A23" s="184">
        <v>100</v>
      </c>
      <c r="B23" s="184" t="s">
        <v>609</v>
      </c>
      <c r="C23" s="184" t="s">
        <v>2672</v>
      </c>
      <c r="D23" s="184">
        <v>0.04</v>
      </c>
      <c r="E23" s="184" t="s">
        <v>610</v>
      </c>
      <c r="F23" s="184">
        <v>9.6</v>
      </c>
      <c r="G23" s="184" t="s">
        <v>598</v>
      </c>
      <c r="H23" s="168">
        <v>3</v>
      </c>
      <c r="I23" s="362">
        <f>IF('SU 02004'!$H23&lt;&gt;"",'SU 02004'!$D23*'SU 02004'!$F23*'SU 02004'!$H23,'SU 02004'!$D23*'SU 02004'!$F23)</f>
        <v>1.1520000000000001</v>
      </c>
    </row>
    <row r="24" spans="1:9" ht="28.8" x14ac:dyDescent="0.3">
      <c r="A24" s="184">
        <v>110</v>
      </c>
      <c r="B24" s="180" t="s">
        <v>589</v>
      </c>
      <c r="C24" s="193"/>
      <c r="D24" s="362">
        <v>1.3</v>
      </c>
      <c r="E24" s="184"/>
      <c r="F24" s="184">
        <v>1</v>
      </c>
      <c r="G24" s="184"/>
      <c r="H24" s="184"/>
      <c r="I24" s="362">
        <f>IF('SU 02004'!$H24&lt;&gt;"",'SU 02004'!$D24*'SU 02004'!$F24*'SU 02004'!$H24,'SU 02004'!$D24*'SU 02004'!$F24)</f>
        <v>1.3</v>
      </c>
    </row>
    <row r="25" spans="1:9" x14ac:dyDescent="0.3">
      <c r="A25" s="184">
        <v>120</v>
      </c>
      <c r="B25" s="180" t="s">
        <v>609</v>
      </c>
      <c r="C25" s="193" t="s">
        <v>2694</v>
      </c>
      <c r="D25" s="362">
        <v>0.04</v>
      </c>
      <c r="E25" s="184" t="s">
        <v>610</v>
      </c>
      <c r="F25" s="184">
        <v>4</v>
      </c>
      <c r="G25" s="184" t="s">
        <v>598</v>
      </c>
      <c r="H25" s="168">
        <v>3</v>
      </c>
      <c r="I25" s="362">
        <f>IF('SU 02004'!$H25&lt;&gt;"",'SU 02004'!$D25*'SU 02004'!$F25*'SU 02004'!$H25,'SU 02004'!$D25*'SU 02004'!$F25)</f>
        <v>0.48</v>
      </c>
    </row>
    <row r="26" spans="1:9" ht="28.8" x14ac:dyDescent="0.3">
      <c r="A26" s="184">
        <v>130</v>
      </c>
      <c r="B26" s="180" t="s">
        <v>589</v>
      </c>
      <c r="C26" s="193"/>
      <c r="D26" s="362">
        <v>1.3</v>
      </c>
      <c r="E26" s="184"/>
      <c r="F26" s="184">
        <v>1</v>
      </c>
      <c r="G26" s="184"/>
      <c r="H26" s="184"/>
      <c r="I26" s="362">
        <f>IF('SU 02004'!$H26&lt;&gt;"",'SU 02004'!$D26*'SU 02004'!$F26*'SU 02004'!$H26,'SU 02004'!$D26*'SU 02004'!$F26)</f>
        <v>1.3</v>
      </c>
    </row>
    <row r="27" spans="1:9" ht="28.8" x14ac:dyDescent="0.3">
      <c r="A27" s="184">
        <v>140</v>
      </c>
      <c r="B27" s="184" t="s">
        <v>609</v>
      </c>
      <c r="C27" s="193" t="s">
        <v>2695</v>
      </c>
      <c r="D27" s="362">
        <v>0.04</v>
      </c>
      <c r="E27" s="184" t="s">
        <v>610</v>
      </c>
      <c r="F27" s="184">
        <v>0.7</v>
      </c>
      <c r="G27" s="184" t="s">
        <v>598</v>
      </c>
      <c r="H27" s="168">
        <v>3</v>
      </c>
      <c r="I27" s="362">
        <f>IF('SU 02004'!$H27&lt;&gt;"",'SU 02004'!$D27*'SU 02004'!$F27*'SU 02004'!$H27,'SU 02004'!$D27*'SU 02004'!$F27)</f>
        <v>8.3999999999999991E-2</v>
      </c>
    </row>
    <row r="28" spans="1:9" ht="28.8" x14ac:dyDescent="0.3">
      <c r="A28" s="184">
        <v>150</v>
      </c>
      <c r="B28" s="180" t="s">
        <v>791</v>
      </c>
      <c r="C28" s="193" t="s">
        <v>2696</v>
      </c>
      <c r="D28" s="362">
        <v>0.35</v>
      </c>
      <c r="E28" s="184"/>
      <c r="F28" s="184">
        <v>1</v>
      </c>
      <c r="G28" s="184" t="s">
        <v>2697</v>
      </c>
      <c r="H28" s="184">
        <v>1.5</v>
      </c>
      <c r="I28" s="362">
        <f>IF('SU 02004'!$H28&lt;&gt;"",'SU 02004'!$D28*'SU 02004'!$F28*'SU 02004'!$H28,'SU 02004'!$D28*'SU 02004'!$F28)</f>
        <v>0.52499999999999991</v>
      </c>
    </row>
    <row r="29" spans="1:9" ht="28.8" x14ac:dyDescent="0.3">
      <c r="A29" s="184">
        <v>160</v>
      </c>
      <c r="B29" s="180" t="s">
        <v>589</v>
      </c>
      <c r="C29" s="193"/>
      <c r="D29" s="362">
        <v>1.3</v>
      </c>
      <c r="E29" s="184"/>
      <c r="F29" s="184">
        <v>1</v>
      </c>
      <c r="G29" s="184"/>
      <c r="H29" s="184"/>
      <c r="I29" s="362">
        <f>IF('SU 02004'!$H29&lt;&gt;"",'SU 02004'!$D29*'SU 02004'!$F29*'SU 02004'!$H29,'SU 02004'!$D29*'SU 02004'!$F29)</f>
        <v>1.3</v>
      </c>
    </row>
    <row r="30" spans="1:9" ht="28.8" x14ac:dyDescent="0.3">
      <c r="A30" s="184">
        <v>170</v>
      </c>
      <c r="B30" s="180" t="s">
        <v>791</v>
      </c>
      <c r="C30" s="193" t="s">
        <v>2698</v>
      </c>
      <c r="D30" s="362">
        <v>0.35</v>
      </c>
      <c r="E30" s="184" t="s">
        <v>843</v>
      </c>
      <c r="F30" s="184">
        <v>2</v>
      </c>
      <c r="G30" s="184"/>
      <c r="H30" s="184"/>
      <c r="I30" s="362">
        <f>IF('SU 02004'!$H30&lt;&gt;"",'SU 02004'!$D30*'SU 02004'!$F30*'SU 02004'!$H30,'SU 02004'!$D30*'SU 02004'!$F30)</f>
        <v>0.7</v>
      </c>
    </row>
    <row r="31" spans="1:9" ht="28.8" x14ac:dyDescent="0.3">
      <c r="A31" s="184">
        <v>180</v>
      </c>
      <c r="B31" s="180" t="s">
        <v>862</v>
      </c>
      <c r="C31" s="193"/>
      <c r="D31" s="362">
        <v>0.1</v>
      </c>
      <c r="E31" s="184" t="s">
        <v>593</v>
      </c>
      <c r="F31" s="184">
        <v>1</v>
      </c>
      <c r="G31" s="184"/>
      <c r="H31" s="184"/>
      <c r="I31" s="362">
        <f>IF('SU 02004'!$H31&lt;&gt;"",'SU 02004'!$D31*'SU 02004'!$F31*'SU 02004'!$H31,'SU 02004'!$D31*'SU 02004'!$F31)</f>
        <v>0.1</v>
      </c>
    </row>
    <row r="32" spans="1:9" x14ac:dyDescent="0.3">
      <c r="A32" s="278"/>
      <c r="B32" s="278"/>
      <c r="C32" s="278"/>
      <c r="D32" s="278"/>
      <c r="E32" s="278"/>
      <c r="F32" s="278"/>
      <c r="G32" s="278"/>
      <c r="H32" s="850" t="s">
        <v>547</v>
      </c>
      <c r="I32" s="849">
        <f>SUM(I14:I31)</f>
        <v>32.125000000000014</v>
      </c>
    </row>
    <row r="33" spans="1:14" s="278" customFormat="1" x14ac:dyDescent="0.3">
      <c r="A33" s="248"/>
      <c r="B33" s="248"/>
      <c r="C33" s="248"/>
      <c r="D33" s="248"/>
      <c r="E33" s="248"/>
      <c r="F33" s="248"/>
      <c r="G33" s="248"/>
      <c r="H33" s="248"/>
      <c r="I33" s="248"/>
      <c r="J33" s="248"/>
      <c r="K33" s="248"/>
      <c r="L33" s="248"/>
      <c r="M33" s="248"/>
      <c r="N33" s="248"/>
    </row>
    <row r="35" spans="1:14" s="278" customFormat="1" x14ac:dyDescent="0.3">
      <c r="A35" s="248"/>
      <c r="B35" s="248"/>
      <c r="C35" s="248"/>
      <c r="D35" s="248"/>
      <c r="E35" s="248"/>
      <c r="F35" s="248"/>
      <c r="G35" s="248"/>
      <c r="H35" s="248"/>
      <c r="I35" s="248"/>
      <c r="J35" s="248"/>
      <c r="K35" s="248"/>
      <c r="L35" s="248"/>
      <c r="M35" s="248"/>
      <c r="N35" s="248"/>
    </row>
    <row r="36" spans="1:14" x14ac:dyDescent="0.3">
      <c r="J36" s="278"/>
    </row>
    <row r="37" spans="1:14" x14ac:dyDescent="0.3">
      <c r="K37" s="278"/>
      <c r="L37" s="278"/>
      <c r="M37" s="278"/>
      <c r="N37" s="278"/>
    </row>
    <row r="39" spans="1:14" x14ac:dyDescent="0.3">
      <c r="K39" s="278"/>
      <c r="L39" s="278"/>
      <c r="M39" s="278"/>
      <c r="N39" s="278"/>
    </row>
    <row r="44" spans="1:14" s="278" customFormat="1" x14ac:dyDescent="0.3">
      <c r="A44" s="248"/>
      <c r="B44" s="248"/>
      <c r="C44" s="248"/>
      <c r="D44" s="248"/>
      <c r="E44" s="248"/>
      <c r="F44" s="248"/>
      <c r="G44" s="248"/>
      <c r="H44" s="248"/>
      <c r="I44" s="248"/>
      <c r="J44" s="248"/>
      <c r="K44" s="248"/>
      <c r="L44" s="248"/>
      <c r="M44" s="248"/>
      <c r="N44" s="248"/>
    </row>
    <row r="46" spans="1:14" s="278" customFormat="1" x14ac:dyDescent="0.3">
      <c r="A46" s="248"/>
      <c r="B46" s="248"/>
      <c r="C46" s="248"/>
      <c r="D46" s="248"/>
      <c r="E46" s="248"/>
      <c r="F46" s="248"/>
      <c r="G46" s="248"/>
      <c r="H46" s="248"/>
      <c r="I46" s="248"/>
      <c r="J46" s="248"/>
      <c r="K46" s="248"/>
      <c r="L46" s="248"/>
      <c r="M46" s="248"/>
      <c r="N46" s="248"/>
    </row>
    <row r="48" spans="1:14" x14ac:dyDescent="0.3">
      <c r="K48" s="278"/>
      <c r="L48" s="278"/>
      <c r="M48" s="278"/>
      <c r="N48" s="278"/>
    </row>
    <row r="50" spans="1:14" x14ac:dyDescent="0.3">
      <c r="K50" s="278"/>
      <c r="L50" s="278"/>
      <c r="M50" s="278"/>
      <c r="N50" s="278"/>
    </row>
    <row r="53" spans="1:14" x14ac:dyDescent="0.3">
      <c r="K53" s="278"/>
      <c r="L53" s="278"/>
      <c r="M53" s="278"/>
      <c r="N53" s="278"/>
    </row>
    <row r="55" spans="1:14" s="278" customFormat="1" x14ac:dyDescent="0.3">
      <c r="A55" s="248"/>
      <c r="B55" s="248"/>
      <c r="C55" s="248"/>
      <c r="D55" s="248"/>
      <c r="E55" s="248"/>
      <c r="F55" s="248"/>
      <c r="G55" s="248"/>
      <c r="H55" s="248"/>
      <c r="I55" s="248"/>
      <c r="J55" s="248"/>
      <c r="K55" s="248"/>
      <c r="L55" s="248"/>
      <c r="M55" s="248"/>
      <c r="N55" s="248"/>
    </row>
    <row r="57" spans="1:14" s="278" customFormat="1" x14ac:dyDescent="0.3">
      <c r="A57" s="248"/>
      <c r="B57" s="248"/>
      <c r="C57" s="248"/>
      <c r="D57" s="248"/>
      <c r="E57" s="248"/>
      <c r="F57" s="248"/>
      <c r="G57" s="248"/>
      <c r="H57" s="248"/>
      <c r="I57" s="248"/>
      <c r="J57" s="248"/>
      <c r="K57" s="248"/>
      <c r="L57" s="248"/>
      <c r="M57" s="248"/>
      <c r="N57" s="248"/>
    </row>
    <row r="60" spans="1:14" s="278" customFormat="1" x14ac:dyDescent="0.3">
      <c r="A60" s="248"/>
      <c r="B60" s="248"/>
      <c r="C60" s="248"/>
      <c r="D60" s="248"/>
      <c r="E60" s="248"/>
      <c r="F60" s="248"/>
      <c r="G60" s="248"/>
      <c r="H60" s="248"/>
      <c r="I60" s="248"/>
      <c r="J60" s="248"/>
      <c r="K60" s="248"/>
      <c r="L60" s="248"/>
      <c r="M60" s="248"/>
      <c r="N60" s="248"/>
    </row>
  </sheetData>
  <hyperlinks>
    <hyperlink ref="D2" location="'Upper bearing support drawing'!A1" display="FileLink1"/>
  </hyperlinks>
  <pageMargins left="0.7" right="0.7" top="0.75" bottom="0.75" header="0.3" footer="0.3"/>
  <pageSetup paperSize="9" scale="60" orientation="landscape" r:id="rId1"/>
</worksheet>
</file>

<file path=xl/worksheets/sheet2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21875" style="161" customWidth="1"/>
    <col min="6" max="6" width="12" style="161" bestFit="1" customWidth="1"/>
    <col min="7" max="7" width="20.218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88671875" style="16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0.19698183107117939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8</v>
      </c>
    </row>
    <row r="3" spans="1:14" x14ac:dyDescent="0.3">
      <c r="A3" s="837" t="s">
        <v>534</v>
      </c>
      <c r="B3" s="161" t="s">
        <v>423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78</v>
      </c>
      <c r="D4" s="837" t="s">
        <v>541</v>
      </c>
      <c r="J4" s="837" t="s">
        <v>538</v>
      </c>
      <c r="M4" s="837" t="s">
        <v>539</v>
      </c>
      <c r="N4" s="336">
        <f>N1*N2</f>
        <v>1.5758546485694351</v>
      </c>
    </row>
    <row r="5" spans="1:14" x14ac:dyDescent="0.3">
      <c r="A5" s="837" t="s">
        <v>537</v>
      </c>
      <c r="B5" s="199" t="s">
        <v>429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720</v>
      </c>
      <c r="C10" s="183" t="s">
        <v>607</v>
      </c>
      <c r="D10" s="241">
        <v>4.2</v>
      </c>
      <c r="E10" s="183">
        <v>1.7999999999999999E-2</v>
      </c>
      <c r="F10" s="183" t="s">
        <v>644</v>
      </c>
      <c r="G10" s="183"/>
      <c r="H10" s="204"/>
      <c r="I10" s="269" t="s">
        <v>2677</v>
      </c>
      <c r="J10" s="206">
        <f>(PI()*E10*E10)/4</f>
        <v>2.5446900494077322E-4</v>
      </c>
      <c r="K10" s="207">
        <v>5.0000000000000001E-3</v>
      </c>
      <c r="L10" s="204">
        <v>2710</v>
      </c>
      <c r="M10" s="183">
        <v>1</v>
      </c>
      <c r="N10" s="385">
        <f>IF(J10="",D10*M10,D10*J10*K10*L10*M10)</f>
        <v>1.4481831071179405E-2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1.4481831071179405E-2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2937</v>
      </c>
      <c r="H14" s="168">
        <f>1/8</f>
        <v>0.125</v>
      </c>
      <c r="I14" s="323">
        <f>IF('SU 02005'!$H14&lt;&gt;"",'SU 02005'!$D14*'SU 02005'!$F14*'SU 02005'!$H14,'SU 02005'!$D14*'SU 02005'!$F14)</f>
        <v>0.16250000000000001</v>
      </c>
    </row>
    <row r="15" spans="1:14" x14ac:dyDescent="0.3">
      <c r="A15" s="168">
        <v>20</v>
      </c>
      <c r="B15" s="180" t="s">
        <v>609</v>
      </c>
      <c r="C15" s="171"/>
      <c r="D15" s="323">
        <v>0.04</v>
      </c>
      <c r="E15" s="168" t="s">
        <v>610</v>
      </c>
      <c r="F15" s="168">
        <v>0.5</v>
      </c>
      <c r="G15" s="184" t="s">
        <v>710</v>
      </c>
      <c r="H15" s="168">
        <v>1</v>
      </c>
      <c r="I15" s="323">
        <f>IF('SU 02005'!$H15&lt;&gt;"",'SU 02005'!$D15*'SU 02005'!$F15*'SU 02005'!$H15,'SU 02005'!$D15*'SU 02005'!$F15)</f>
        <v>0.02</v>
      </c>
    </row>
    <row r="16" spans="1:14" s="178" customFormat="1" x14ac:dyDescent="0.3">
      <c r="H16" s="840" t="s">
        <v>547</v>
      </c>
      <c r="I16" s="841">
        <f>SUM(I14:I15)</f>
        <v>0.1825</v>
      </c>
      <c r="J16" s="161"/>
      <c r="K16" s="161"/>
      <c r="L16" s="161"/>
      <c r="M16" s="161"/>
      <c r="N16" s="161"/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19" spans="1:14" x14ac:dyDescent="0.3">
      <c r="J19" s="178"/>
    </row>
    <row r="20" spans="1:14" x14ac:dyDescent="0.3">
      <c r="K20" s="178"/>
      <c r="L20" s="178"/>
      <c r="M20" s="178"/>
      <c r="N20" s="178"/>
    </row>
    <row r="22" spans="1:14" x14ac:dyDescent="0.3">
      <c r="K22" s="178"/>
      <c r="L22" s="178"/>
      <c r="M22" s="178"/>
      <c r="N22" s="178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x14ac:dyDescent="0.3">
      <c r="K31" s="178"/>
      <c r="L31" s="178"/>
      <c r="M31" s="178"/>
      <c r="N31" s="178"/>
    </row>
    <row r="33" spans="1:14" x14ac:dyDescent="0.3">
      <c r="K33" s="178"/>
      <c r="L33" s="178"/>
      <c r="M33" s="178"/>
      <c r="N33" s="178"/>
    </row>
    <row r="36" spans="1:14" x14ac:dyDescent="0.3">
      <c r="K36" s="178"/>
      <c r="L36" s="178"/>
      <c r="M36" s="178"/>
      <c r="N36" s="178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</sheetData>
  <pageMargins left="0.7" right="0.7" top="0.75" bottom="0.75" header="0.3" footer="0.3"/>
  <pageSetup paperSize="9" scale="66" orientation="landscape" r:id="rId1"/>
</worksheet>
</file>

<file path=xl/worksheets/sheet2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N62"/>
  <sheetViews>
    <sheetView showGridLines="0" workbookViewId="0"/>
  </sheetViews>
  <sheetFormatPr defaultColWidth="9.109375" defaultRowHeight="14.4" x14ac:dyDescent="0.3"/>
  <cols>
    <col min="1" max="1" width="14.77734375" style="311" customWidth="1"/>
    <col min="2" max="2" width="28.33203125" style="311" customWidth="1"/>
    <col min="3" max="3" width="26.6640625" style="311" customWidth="1"/>
    <col min="4" max="4" width="12.88671875" style="311" customWidth="1"/>
    <col min="5" max="5" width="15.77734375" style="311" customWidth="1"/>
    <col min="6" max="6" width="15.21875" style="311" customWidth="1"/>
    <col min="7" max="7" width="10.44140625" style="311" bestFit="1" customWidth="1"/>
    <col min="8" max="8" width="15.88671875" style="311" customWidth="1"/>
    <col min="9" max="9" width="20.33203125" style="311" customWidth="1"/>
    <col min="10" max="10" width="14.77734375" style="311" customWidth="1"/>
    <col min="11" max="12" width="9.33203125" style="311" customWidth="1"/>
    <col min="13" max="13" width="14.33203125" style="311" customWidth="1"/>
    <col min="14" max="14" width="11.6640625" style="311" customWidth="1"/>
    <col min="15" max="16384" width="9.109375" style="311"/>
  </cols>
  <sheetData>
    <row r="1" spans="1:14" x14ac:dyDescent="0.3">
      <c r="A1" s="832" t="s">
        <v>523</v>
      </c>
      <c r="B1" s="311" t="s">
        <v>524</v>
      </c>
      <c r="J1" s="832" t="s">
        <v>528</v>
      </c>
      <c r="K1" s="163">
        <v>81</v>
      </c>
      <c r="M1" s="832" t="s">
        <v>531</v>
      </c>
      <c r="N1" s="424">
        <f>E15+N23+I42+J50+I54</f>
        <v>94.02111879079466</v>
      </c>
    </row>
    <row r="2" spans="1:14" x14ac:dyDescent="0.3">
      <c r="A2" s="832" t="s">
        <v>532</v>
      </c>
      <c r="B2" s="311" t="s">
        <v>411</v>
      </c>
      <c r="M2" s="832" t="s">
        <v>533</v>
      </c>
      <c r="N2" s="425">
        <v>2</v>
      </c>
    </row>
    <row r="3" spans="1:14" x14ac:dyDescent="0.3">
      <c r="A3" s="832" t="s">
        <v>534</v>
      </c>
      <c r="B3" s="311" t="s">
        <v>431</v>
      </c>
      <c r="J3" s="832" t="s">
        <v>536</v>
      </c>
    </row>
    <row r="4" spans="1:14" x14ac:dyDescent="0.3">
      <c r="A4" s="832" t="s">
        <v>537</v>
      </c>
      <c r="B4" s="166" t="s">
        <v>430</v>
      </c>
      <c r="J4" s="832" t="s">
        <v>538</v>
      </c>
      <c r="M4" s="832" t="s">
        <v>539</v>
      </c>
      <c r="N4" s="424">
        <f>N1*N2</f>
        <v>188.04223758158932</v>
      </c>
    </row>
    <row r="5" spans="1:14" x14ac:dyDescent="0.3">
      <c r="A5" s="832" t="s">
        <v>540</v>
      </c>
      <c r="B5" s="311" t="s">
        <v>36</v>
      </c>
      <c r="J5" s="832" t="s">
        <v>541</v>
      </c>
    </row>
    <row r="6" spans="1:14" x14ac:dyDescent="0.3">
      <c r="A6" s="832" t="s">
        <v>542</v>
      </c>
      <c r="B6" s="311" t="s">
        <v>2639</v>
      </c>
    </row>
    <row r="8" spans="1:14" x14ac:dyDescent="0.3">
      <c r="A8" s="833" t="s">
        <v>544</v>
      </c>
      <c r="B8" s="833" t="s">
        <v>545</v>
      </c>
      <c r="C8" s="833" t="s">
        <v>546</v>
      </c>
      <c r="D8" s="833" t="s">
        <v>28</v>
      </c>
      <c r="E8" s="833" t="s">
        <v>547</v>
      </c>
    </row>
    <row r="9" spans="1:14" x14ac:dyDescent="0.3">
      <c r="A9" s="183">
        <v>10</v>
      </c>
      <c r="B9" s="168" t="s">
        <v>2699</v>
      </c>
      <c r="C9" s="241">
        <f>'SU 03001'!N1</f>
        <v>8.6272738399999973</v>
      </c>
      <c r="D9" s="183">
        <v>1</v>
      </c>
      <c r="E9" s="385">
        <f t="shared" ref="E9:E14" si="0">C9*D9</f>
        <v>8.6272738399999973</v>
      </c>
    </row>
    <row r="10" spans="1:14" x14ac:dyDescent="0.3">
      <c r="A10" s="183">
        <v>20</v>
      </c>
      <c r="B10" s="168" t="s">
        <v>2700</v>
      </c>
      <c r="C10" s="241">
        <f>'SU 03002'!N1</f>
        <v>10.563273839999999</v>
      </c>
      <c r="D10" s="183">
        <v>1</v>
      </c>
      <c r="E10" s="385">
        <f t="shared" si="0"/>
        <v>10.563273839999999</v>
      </c>
    </row>
    <row r="11" spans="1:14" x14ac:dyDescent="0.3">
      <c r="A11" s="183">
        <v>30</v>
      </c>
      <c r="B11" s="168" t="s">
        <v>417</v>
      </c>
      <c r="C11" s="241">
        <f>'SU 03003'!N1</f>
        <v>3.1523818481530936</v>
      </c>
      <c r="D11" s="183">
        <v>2</v>
      </c>
      <c r="E11" s="385">
        <f t="shared" si="0"/>
        <v>6.3047636963061873</v>
      </c>
    </row>
    <row r="12" spans="1:14" x14ac:dyDescent="0.3">
      <c r="A12" s="183">
        <v>40</v>
      </c>
      <c r="B12" s="168" t="s">
        <v>419</v>
      </c>
      <c r="C12" s="241">
        <f>'SU 03004'!N1</f>
        <v>4.3912299199999998</v>
      </c>
      <c r="D12" s="183">
        <v>2</v>
      </c>
      <c r="E12" s="385">
        <f t="shared" si="0"/>
        <v>8.7824598399999996</v>
      </c>
    </row>
    <row r="13" spans="1:14" x14ac:dyDescent="0.3">
      <c r="A13" s="183">
        <v>50</v>
      </c>
      <c r="B13" s="168" t="s">
        <v>2701</v>
      </c>
      <c r="C13" s="241">
        <f>'SU 03005'!N1</f>
        <v>15.847862640000002</v>
      </c>
      <c r="D13" s="183">
        <v>1</v>
      </c>
      <c r="E13" s="385">
        <f t="shared" si="0"/>
        <v>15.847862640000002</v>
      </c>
    </row>
    <row r="14" spans="1:14" x14ac:dyDescent="0.3">
      <c r="A14" s="183">
        <v>60</v>
      </c>
      <c r="B14" s="168" t="s">
        <v>78</v>
      </c>
      <c r="C14" s="241">
        <f>'SU 03006'!N1</f>
        <v>0.19698183107117939</v>
      </c>
      <c r="D14" s="183">
        <v>4</v>
      </c>
      <c r="E14" s="385">
        <f t="shared" si="0"/>
        <v>0.78792732428471757</v>
      </c>
    </row>
    <row r="15" spans="1:14" x14ac:dyDescent="0.3">
      <c r="D15" s="834" t="s">
        <v>547</v>
      </c>
      <c r="E15" s="835">
        <f>SUM(E9:E14)</f>
        <v>50.913561180590904</v>
      </c>
    </row>
    <row r="17" spans="1:14" x14ac:dyDescent="0.3">
      <c r="A17" s="833" t="s">
        <v>544</v>
      </c>
      <c r="B17" s="833" t="s">
        <v>581</v>
      </c>
      <c r="C17" s="833" t="s">
        <v>549</v>
      </c>
      <c r="D17" s="833" t="s">
        <v>550</v>
      </c>
      <c r="E17" s="833" t="s">
        <v>567</v>
      </c>
      <c r="F17" s="833" t="s">
        <v>568</v>
      </c>
      <c r="G17" s="833" t="s">
        <v>569</v>
      </c>
      <c r="H17" s="833" t="s">
        <v>570</v>
      </c>
      <c r="I17" s="833" t="s">
        <v>582</v>
      </c>
      <c r="J17" s="833" t="s">
        <v>583</v>
      </c>
      <c r="K17" s="833" t="s">
        <v>584</v>
      </c>
      <c r="L17" s="833" t="s">
        <v>585</v>
      </c>
      <c r="M17" s="833" t="s">
        <v>28</v>
      </c>
      <c r="N17" s="833" t="s">
        <v>547</v>
      </c>
    </row>
    <row r="18" spans="1:14" x14ac:dyDescent="0.3">
      <c r="A18" s="183">
        <v>10</v>
      </c>
      <c r="B18" s="190" t="s">
        <v>2642</v>
      </c>
      <c r="C18" s="168" t="s">
        <v>2643</v>
      </c>
      <c r="D18" s="241">
        <v>2.25</v>
      </c>
      <c r="E18" s="183">
        <v>1.4999999999999999E-2</v>
      </c>
      <c r="F18" s="183" t="s">
        <v>644</v>
      </c>
      <c r="G18" s="183">
        <v>1.2999999999999999E-2</v>
      </c>
      <c r="H18" s="204" t="s">
        <v>644</v>
      </c>
      <c r="I18" s="269" t="s">
        <v>2644</v>
      </c>
      <c r="J18" s="206">
        <f>(E18*E18-G18*G18)*PI()/4</f>
        <v>4.3982297150257112E-5</v>
      </c>
      <c r="K18" s="204">
        <v>0.311</v>
      </c>
      <c r="L18" s="204">
        <v>7860</v>
      </c>
      <c r="M18" s="183">
        <v>1</v>
      </c>
      <c r="N18" s="385">
        <f>IF(J18="",D18*M18,D18*J18*K18*L18*M18)</f>
        <v>0.24190417370681438</v>
      </c>
    </row>
    <row r="19" spans="1:14" x14ac:dyDescent="0.3">
      <c r="A19" s="183">
        <v>20</v>
      </c>
      <c r="B19" s="190" t="s">
        <v>2642</v>
      </c>
      <c r="C19" s="168" t="s">
        <v>2645</v>
      </c>
      <c r="D19" s="241">
        <v>2.25</v>
      </c>
      <c r="E19" s="183">
        <v>1.4999999999999999E-2</v>
      </c>
      <c r="F19" s="183" t="s">
        <v>644</v>
      </c>
      <c r="G19" s="183">
        <v>1.2999999999999999E-2</v>
      </c>
      <c r="H19" s="204" t="s">
        <v>644</v>
      </c>
      <c r="I19" s="269" t="s">
        <v>2644</v>
      </c>
      <c r="J19" s="206">
        <f>(E19*E19-G19*G19)*PI()/4</f>
        <v>4.3982297150257112E-5</v>
      </c>
      <c r="K19" s="207">
        <v>0.29599999999999999</v>
      </c>
      <c r="L19" s="204">
        <v>7860</v>
      </c>
      <c r="M19" s="183">
        <v>1</v>
      </c>
      <c r="N19" s="385">
        <f>IF(J19="",D19*M19,D19*J19*K19*L19*M19)</f>
        <v>0.23023676983027991</v>
      </c>
    </row>
    <row r="20" spans="1:14" ht="13.8" customHeight="1" x14ac:dyDescent="0.3">
      <c r="A20" s="183">
        <v>30</v>
      </c>
      <c r="B20" s="190" t="s">
        <v>2646</v>
      </c>
      <c r="C20" s="494" t="s">
        <v>2647</v>
      </c>
      <c r="D20" s="241">
        <v>6.92</v>
      </c>
      <c r="E20" s="183">
        <v>8</v>
      </c>
      <c r="F20" s="183" t="s">
        <v>573</v>
      </c>
      <c r="G20" s="183"/>
      <c r="H20" s="204"/>
      <c r="I20" s="205"/>
      <c r="J20" s="430"/>
      <c r="K20" s="204"/>
      <c r="L20" s="204"/>
      <c r="M20" s="183">
        <v>3</v>
      </c>
      <c r="N20" s="385">
        <f>IF(J20="",D20*M20,D20*J20*K20*L20*M20)</f>
        <v>20.759999999999998</v>
      </c>
    </row>
    <row r="21" spans="1:14" ht="15" customHeight="1" x14ac:dyDescent="0.3">
      <c r="A21" s="183">
        <v>40</v>
      </c>
      <c r="B21" s="190" t="s">
        <v>625</v>
      </c>
      <c r="C21" s="494" t="s">
        <v>2648</v>
      </c>
      <c r="D21" s="241">
        <v>10</v>
      </c>
      <c r="E21" s="183">
        <f>F27+F37</f>
        <v>0.13500000000000001</v>
      </c>
      <c r="F21" s="183" t="s">
        <v>627</v>
      </c>
      <c r="G21" s="183"/>
      <c r="H21" s="204"/>
      <c r="I21" s="205"/>
      <c r="J21" s="430"/>
      <c r="K21" s="204"/>
      <c r="L21" s="204"/>
      <c r="M21" s="183">
        <v>0.15</v>
      </c>
      <c r="N21" s="385">
        <f>IF(J21="",D21*M21,D21*J21*K21*L21*M21)</f>
        <v>1.5</v>
      </c>
    </row>
    <row r="22" spans="1:14" ht="28.2" customHeight="1" x14ac:dyDescent="0.3">
      <c r="A22" s="183">
        <v>50</v>
      </c>
      <c r="B22" s="190" t="s">
        <v>1024</v>
      </c>
      <c r="C22" s="494" t="s">
        <v>2649</v>
      </c>
      <c r="D22" s="241">
        <v>0</v>
      </c>
      <c r="E22" s="183"/>
      <c r="F22" s="183"/>
      <c r="G22" s="183"/>
      <c r="H22" s="204"/>
      <c r="I22" s="205"/>
      <c r="J22" s="430"/>
      <c r="K22" s="204"/>
      <c r="L22" s="204"/>
      <c r="M22" s="183"/>
      <c r="N22" s="385">
        <f>IF(J22="",D22*M22,D22*J22*K22*L22*M22)</f>
        <v>0</v>
      </c>
    </row>
    <row r="23" spans="1:14" ht="16.8" customHeight="1" x14ac:dyDescent="0.3">
      <c r="A23" s="432"/>
      <c r="B23" s="432"/>
      <c r="C23" s="432"/>
      <c r="D23" s="432"/>
      <c r="E23" s="432"/>
      <c r="F23" s="432"/>
      <c r="G23" s="432"/>
      <c r="H23" s="432"/>
      <c r="I23" s="432"/>
      <c r="J23" s="432"/>
      <c r="K23" s="432"/>
      <c r="L23" s="432"/>
      <c r="M23" s="834" t="s">
        <v>547</v>
      </c>
      <c r="N23" s="835">
        <f>SUM(N18:N21)</f>
        <v>22.732140943537093</v>
      </c>
    </row>
    <row r="25" spans="1:14" x14ac:dyDescent="0.3">
      <c r="A25" s="833" t="s">
        <v>544</v>
      </c>
      <c r="B25" s="833" t="s">
        <v>548</v>
      </c>
      <c r="C25" s="833" t="s">
        <v>549</v>
      </c>
      <c r="D25" s="833" t="s">
        <v>550</v>
      </c>
      <c r="E25" s="833" t="s">
        <v>551</v>
      </c>
      <c r="F25" s="833" t="s">
        <v>28</v>
      </c>
      <c r="G25" s="833" t="s">
        <v>552</v>
      </c>
      <c r="H25" s="833" t="s">
        <v>553</v>
      </c>
      <c r="I25" s="833" t="s">
        <v>547</v>
      </c>
      <c r="J25" s="432"/>
      <c r="K25" s="432"/>
      <c r="L25" s="432"/>
      <c r="M25" s="432"/>
      <c r="N25" s="432"/>
    </row>
    <row r="26" spans="1:14" x14ac:dyDescent="0.3">
      <c r="A26" s="183">
        <v>10</v>
      </c>
      <c r="B26" s="180" t="s">
        <v>650</v>
      </c>
      <c r="C26" s="184" t="s">
        <v>2650</v>
      </c>
      <c r="D26" s="183">
        <v>0.15</v>
      </c>
      <c r="E26" s="183" t="s">
        <v>593</v>
      </c>
      <c r="F26" s="183">
        <v>22</v>
      </c>
      <c r="G26" s="183"/>
      <c r="H26" s="183"/>
      <c r="I26" s="241">
        <f>D26*F26</f>
        <v>3.3</v>
      </c>
    </row>
    <row r="27" spans="1:14" x14ac:dyDescent="0.3">
      <c r="A27" s="183">
        <v>20</v>
      </c>
      <c r="B27" s="180" t="s">
        <v>653</v>
      </c>
      <c r="C27" s="193" t="s">
        <v>1731</v>
      </c>
      <c r="D27" s="241">
        <v>5.25</v>
      </c>
      <c r="E27" s="183" t="s">
        <v>627</v>
      </c>
      <c r="F27" s="183">
        <v>1.4999999999999999E-2</v>
      </c>
      <c r="G27" s="183"/>
      <c r="H27" s="183"/>
      <c r="I27" s="241">
        <f t="shared" ref="I27:I41" si="1">D27*F27</f>
        <v>7.8750000000000001E-2</v>
      </c>
    </row>
    <row r="28" spans="1:14" ht="28.8" x14ac:dyDescent="0.3">
      <c r="A28" s="183">
        <v>30</v>
      </c>
      <c r="B28" s="180" t="s">
        <v>650</v>
      </c>
      <c r="C28" s="193" t="s">
        <v>2651</v>
      </c>
      <c r="D28" s="241">
        <v>0.15</v>
      </c>
      <c r="E28" s="183" t="s">
        <v>593</v>
      </c>
      <c r="F28" s="183">
        <v>3</v>
      </c>
      <c r="G28" s="183"/>
      <c r="H28" s="183"/>
      <c r="I28" s="241">
        <f t="shared" si="1"/>
        <v>0.44999999999999996</v>
      </c>
    </row>
    <row r="29" spans="1:14" x14ac:dyDescent="0.3">
      <c r="A29" s="183">
        <v>40</v>
      </c>
      <c r="B29" s="180" t="s">
        <v>2652</v>
      </c>
      <c r="C29" s="183" t="s">
        <v>2643</v>
      </c>
      <c r="D29" s="241">
        <v>0.15</v>
      </c>
      <c r="E29" s="183" t="s">
        <v>593</v>
      </c>
      <c r="F29" s="183">
        <v>1.5</v>
      </c>
      <c r="G29" s="183"/>
      <c r="H29" s="183"/>
      <c r="I29" s="241">
        <f t="shared" si="1"/>
        <v>0.22499999999999998</v>
      </c>
    </row>
    <row r="30" spans="1:14" x14ac:dyDescent="0.3">
      <c r="A30" s="183">
        <v>50</v>
      </c>
      <c r="B30" s="180" t="s">
        <v>2652</v>
      </c>
      <c r="C30" s="183" t="s">
        <v>2645</v>
      </c>
      <c r="D30" s="241">
        <v>0.15</v>
      </c>
      <c r="E30" s="183" t="s">
        <v>593</v>
      </c>
      <c r="F30" s="183">
        <v>1.5</v>
      </c>
      <c r="G30" s="183"/>
      <c r="H30" s="183"/>
      <c r="I30" s="241">
        <f t="shared" si="1"/>
        <v>0.22499999999999998</v>
      </c>
    </row>
    <row r="31" spans="1:14" ht="28.8" x14ac:dyDescent="0.3">
      <c r="A31" s="183">
        <v>60</v>
      </c>
      <c r="B31" s="180" t="s">
        <v>650</v>
      </c>
      <c r="C31" s="193" t="s">
        <v>2653</v>
      </c>
      <c r="D31" s="241">
        <v>0.15</v>
      </c>
      <c r="E31" s="183" t="s">
        <v>593</v>
      </c>
      <c r="F31" s="183">
        <v>9</v>
      </c>
      <c r="G31" s="183"/>
      <c r="H31" s="183"/>
      <c r="I31" s="241">
        <f t="shared" si="1"/>
        <v>1.3499999999999999</v>
      </c>
    </row>
    <row r="32" spans="1:14" ht="28.8" x14ac:dyDescent="0.3">
      <c r="A32" s="183">
        <v>70</v>
      </c>
      <c r="B32" s="180" t="s">
        <v>650</v>
      </c>
      <c r="C32" s="193" t="s">
        <v>2681</v>
      </c>
      <c r="D32" s="241">
        <v>0.15</v>
      </c>
      <c r="E32" s="183" t="s">
        <v>593</v>
      </c>
      <c r="F32" s="183">
        <v>5</v>
      </c>
      <c r="G32" s="183"/>
      <c r="H32" s="183"/>
      <c r="I32" s="241">
        <f t="shared" si="1"/>
        <v>0.75</v>
      </c>
    </row>
    <row r="33" spans="1:14" x14ac:dyDescent="0.3">
      <c r="A33" s="183">
        <v>80</v>
      </c>
      <c r="B33" s="180" t="s">
        <v>2654</v>
      </c>
      <c r="C33" s="193" t="s">
        <v>2682</v>
      </c>
      <c r="D33" s="241">
        <v>0.02</v>
      </c>
      <c r="E33" s="183" t="s">
        <v>852</v>
      </c>
      <c r="F33" s="183">
        <v>20</v>
      </c>
      <c r="G33" s="183"/>
      <c r="H33" s="183"/>
      <c r="I33" s="241">
        <f t="shared" si="1"/>
        <v>0.4</v>
      </c>
    </row>
    <row r="34" spans="1:14" ht="28.8" x14ac:dyDescent="0.3">
      <c r="A34" s="183">
        <v>90</v>
      </c>
      <c r="B34" s="180" t="s">
        <v>2656</v>
      </c>
      <c r="C34" s="193" t="s">
        <v>2702</v>
      </c>
      <c r="D34" s="241">
        <v>0.19</v>
      </c>
      <c r="E34" s="183"/>
      <c r="F34" s="183">
        <v>3</v>
      </c>
      <c r="G34" s="183"/>
      <c r="H34" s="183"/>
      <c r="I34" s="241">
        <f t="shared" si="1"/>
        <v>0.57000000000000006</v>
      </c>
    </row>
    <row r="35" spans="1:14" x14ac:dyDescent="0.3">
      <c r="A35" s="183">
        <v>100</v>
      </c>
      <c r="B35" s="180" t="s">
        <v>2684</v>
      </c>
      <c r="C35" s="193" t="s">
        <v>2685</v>
      </c>
      <c r="D35" s="241">
        <v>0.5</v>
      </c>
      <c r="E35" s="183"/>
      <c r="F35" s="183">
        <v>2</v>
      </c>
      <c r="G35" s="183"/>
      <c r="H35" s="183"/>
      <c r="I35" s="241">
        <f t="shared" si="1"/>
        <v>1</v>
      </c>
    </row>
    <row r="36" spans="1:14" x14ac:dyDescent="0.3">
      <c r="A36" s="183">
        <v>110</v>
      </c>
      <c r="B36" s="180" t="s">
        <v>2684</v>
      </c>
      <c r="C36" s="193" t="s">
        <v>2686</v>
      </c>
      <c r="D36" s="241">
        <v>0.5</v>
      </c>
      <c r="E36" s="183"/>
      <c r="F36" s="183">
        <v>4</v>
      </c>
      <c r="G36" s="183"/>
      <c r="H36" s="183"/>
      <c r="I36" s="241">
        <f t="shared" si="1"/>
        <v>2</v>
      </c>
    </row>
    <row r="37" spans="1:14" x14ac:dyDescent="0.3">
      <c r="A37" s="183">
        <v>120</v>
      </c>
      <c r="B37" s="180" t="s">
        <v>653</v>
      </c>
      <c r="C37" s="193" t="s">
        <v>2658</v>
      </c>
      <c r="D37" s="241">
        <v>5.25</v>
      </c>
      <c r="E37" s="183" t="s">
        <v>627</v>
      </c>
      <c r="F37" s="183">
        <v>0.12</v>
      </c>
      <c r="G37" s="183"/>
      <c r="H37" s="183"/>
      <c r="I37" s="241">
        <f t="shared" si="1"/>
        <v>0.63</v>
      </c>
    </row>
    <row r="38" spans="1:14" ht="28.8" x14ac:dyDescent="0.3">
      <c r="A38" s="183">
        <v>130</v>
      </c>
      <c r="B38" s="180" t="s">
        <v>2344</v>
      </c>
      <c r="C38" s="193" t="s">
        <v>2659</v>
      </c>
      <c r="D38" s="241">
        <v>0.19</v>
      </c>
      <c r="E38" s="183"/>
      <c r="F38" s="183">
        <v>1</v>
      </c>
      <c r="G38" s="183"/>
      <c r="H38" s="183"/>
      <c r="I38" s="241">
        <f t="shared" si="1"/>
        <v>0.19</v>
      </c>
    </row>
    <row r="39" spans="1:14" s="432" customFormat="1" x14ac:dyDescent="0.3">
      <c r="A39" s="183">
        <v>140</v>
      </c>
      <c r="B39" s="180" t="s">
        <v>1912</v>
      </c>
      <c r="C39" s="193" t="s">
        <v>2660</v>
      </c>
      <c r="D39" s="241">
        <v>0.13</v>
      </c>
      <c r="E39" s="183"/>
      <c r="F39" s="183">
        <v>4</v>
      </c>
      <c r="G39" s="183"/>
      <c r="H39" s="183"/>
      <c r="I39" s="241">
        <f t="shared" si="1"/>
        <v>0.52</v>
      </c>
      <c r="J39" s="311"/>
      <c r="K39" s="311"/>
      <c r="L39" s="311"/>
      <c r="M39" s="311"/>
      <c r="N39" s="311"/>
    </row>
    <row r="40" spans="1:14" s="432" customFormat="1" x14ac:dyDescent="0.3">
      <c r="A40" s="183">
        <v>150</v>
      </c>
      <c r="B40" s="180" t="s">
        <v>2661</v>
      </c>
      <c r="C40" s="193" t="s">
        <v>1851</v>
      </c>
      <c r="D40" s="241">
        <v>1</v>
      </c>
      <c r="E40" s="183"/>
      <c r="F40" s="183">
        <v>2</v>
      </c>
      <c r="G40" s="183"/>
      <c r="H40" s="183"/>
      <c r="I40" s="241">
        <f t="shared" si="1"/>
        <v>2</v>
      </c>
      <c r="J40" s="311"/>
      <c r="K40" s="311"/>
      <c r="L40" s="311"/>
      <c r="M40" s="311"/>
      <c r="N40" s="311"/>
    </row>
    <row r="41" spans="1:14" s="432" customFormat="1" x14ac:dyDescent="0.3">
      <c r="A41" s="183">
        <v>160</v>
      </c>
      <c r="B41" s="180" t="s">
        <v>2662</v>
      </c>
      <c r="C41" s="193" t="s">
        <v>2663</v>
      </c>
      <c r="D41" s="241">
        <v>0.25</v>
      </c>
      <c r="E41" s="183"/>
      <c r="F41" s="183">
        <v>2</v>
      </c>
      <c r="G41" s="183"/>
      <c r="H41" s="183"/>
      <c r="I41" s="241">
        <f t="shared" si="1"/>
        <v>0.5</v>
      </c>
      <c r="J41" s="311"/>
      <c r="K41" s="311"/>
      <c r="L41" s="311"/>
      <c r="M41" s="311"/>
      <c r="N41" s="311"/>
    </row>
    <row r="42" spans="1:14" x14ac:dyDescent="0.3">
      <c r="A42" s="432"/>
      <c r="B42" s="432"/>
      <c r="C42" s="432"/>
      <c r="D42" s="432"/>
      <c r="E42" s="432"/>
      <c r="F42" s="432"/>
      <c r="G42" s="432"/>
      <c r="H42" s="836" t="s">
        <v>547</v>
      </c>
      <c r="I42" s="835">
        <f>SUM(I26:I41)</f>
        <v>14.188749999999999</v>
      </c>
      <c r="K42" s="432"/>
      <c r="L42" s="432"/>
      <c r="M42" s="432"/>
      <c r="N42" s="432"/>
    </row>
    <row r="44" spans="1:14" x14ac:dyDescent="0.3">
      <c r="A44" s="833" t="s">
        <v>544</v>
      </c>
      <c r="B44" s="833" t="s">
        <v>566</v>
      </c>
      <c r="C44" s="833" t="s">
        <v>549</v>
      </c>
      <c r="D44" s="833" t="s">
        <v>550</v>
      </c>
      <c r="E44" s="833" t="s">
        <v>567</v>
      </c>
      <c r="F44" s="833" t="s">
        <v>568</v>
      </c>
      <c r="G44" s="833" t="s">
        <v>569</v>
      </c>
      <c r="H44" s="833" t="s">
        <v>570</v>
      </c>
      <c r="I44" s="833" t="s">
        <v>28</v>
      </c>
      <c r="J44" s="833" t="s">
        <v>547</v>
      </c>
      <c r="K44" s="432"/>
      <c r="L44" s="432"/>
      <c r="M44" s="432"/>
      <c r="N44" s="432"/>
    </row>
    <row r="45" spans="1:14" ht="28.8" x14ac:dyDescent="0.3">
      <c r="A45" s="183">
        <v>10</v>
      </c>
      <c r="B45" s="190" t="s">
        <v>684</v>
      </c>
      <c r="C45" s="184" t="s">
        <v>2687</v>
      </c>
      <c r="D45" s="183">
        <v>0.01</v>
      </c>
      <c r="E45" s="183">
        <v>3</v>
      </c>
      <c r="F45" s="437" t="s">
        <v>573</v>
      </c>
      <c r="G45" s="183">
        <v>5</v>
      </c>
      <c r="H45" s="414" t="s">
        <v>573</v>
      </c>
      <c r="I45" s="438">
        <v>4</v>
      </c>
      <c r="J45" s="241">
        <f>D45*I45</f>
        <v>0.04</v>
      </c>
    </row>
    <row r="46" spans="1:14" ht="28.8" x14ac:dyDescent="0.3">
      <c r="A46" s="183">
        <v>20</v>
      </c>
      <c r="B46" s="190" t="s">
        <v>684</v>
      </c>
      <c r="C46" s="184" t="s">
        <v>2688</v>
      </c>
      <c r="D46" s="183">
        <v>0.01</v>
      </c>
      <c r="E46" s="183">
        <v>4</v>
      </c>
      <c r="F46" s="437" t="s">
        <v>573</v>
      </c>
      <c r="G46" s="183">
        <v>4</v>
      </c>
      <c r="H46" s="414" t="s">
        <v>573</v>
      </c>
      <c r="I46" s="438">
        <v>8</v>
      </c>
      <c r="J46" s="241">
        <f>D46*I46</f>
        <v>0.08</v>
      </c>
    </row>
    <row r="47" spans="1:14" x14ac:dyDescent="0.3">
      <c r="A47" s="183">
        <v>30</v>
      </c>
      <c r="B47" s="190" t="s">
        <v>1375</v>
      </c>
      <c r="C47" s="183" t="s">
        <v>2664</v>
      </c>
      <c r="D47" s="183">
        <v>0.28999999999999998</v>
      </c>
      <c r="E47" s="183">
        <v>8</v>
      </c>
      <c r="F47" s="437" t="s">
        <v>573</v>
      </c>
      <c r="G47" s="183">
        <v>45</v>
      </c>
      <c r="H47" s="414" t="s">
        <v>573</v>
      </c>
      <c r="I47" s="438">
        <v>4</v>
      </c>
      <c r="J47" s="241">
        <f>D47*I47</f>
        <v>1.1599999999999999</v>
      </c>
    </row>
    <row r="48" spans="1:14" x14ac:dyDescent="0.3">
      <c r="A48" s="183">
        <v>40</v>
      </c>
      <c r="B48" s="629" t="s">
        <v>618</v>
      </c>
      <c r="C48" s="183" t="s">
        <v>2665</v>
      </c>
      <c r="D48" s="183">
        <v>0.04</v>
      </c>
      <c r="E48" s="183">
        <v>8</v>
      </c>
      <c r="F48" s="437" t="s">
        <v>573</v>
      </c>
      <c r="G48" s="183"/>
      <c r="H48" s="414"/>
      <c r="I48" s="438">
        <v>4</v>
      </c>
      <c r="J48" s="241">
        <f>D48*I48</f>
        <v>0.16</v>
      </c>
    </row>
    <row r="49" spans="1:14" x14ac:dyDescent="0.3">
      <c r="A49" s="183">
        <v>50</v>
      </c>
      <c r="B49" s="629" t="s">
        <v>574</v>
      </c>
      <c r="C49" s="183" t="s">
        <v>2666</v>
      </c>
      <c r="D49" s="183">
        <v>0.01</v>
      </c>
      <c r="E49" s="183">
        <v>8</v>
      </c>
      <c r="F49" s="437" t="s">
        <v>573</v>
      </c>
      <c r="G49" s="183"/>
      <c r="H49" s="414"/>
      <c r="I49" s="438">
        <v>8</v>
      </c>
      <c r="J49" s="241">
        <f>D49*I49</f>
        <v>0.08</v>
      </c>
    </row>
    <row r="50" spans="1:14" ht="15.6" customHeight="1" x14ac:dyDescent="0.3">
      <c r="A50" s="432"/>
      <c r="B50" s="432"/>
      <c r="C50" s="432"/>
      <c r="D50" s="432"/>
      <c r="E50" s="432"/>
      <c r="F50" s="432"/>
      <c r="G50" s="432"/>
      <c r="H50" s="432"/>
      <c r="I50" s="834" t="s">
        <v>547</v>
      </c>
      <c r="J50" s="835">
        <f>SUM(J45:J49)</f>
        <v>1.5199999999999998</v>
      </c>
      <c r="K50" s="432"/>
      <c r="L50" s="432"/>
      <c r="M50" s="432"/>
      <c r="N50" s="432"/>
    </row>
    <row r="51" spans="1:14" ht="25.2" customHeight="1" x14ac:dyDescent="0.3">
      <c r="H51" s="326"/>
      <c r="I51" s="447"/>
    </row>
    <row r="52" spans="1:14" ht="13.2" customHeight="1" x14ac:dyDescent="0.3">
      <c r="A52" s="833" t="s">
        <v>544</v>
      </c>
      <c r="B52" s="833" t="s">
        <v>6</v>
      </c>
      <c r="C52" s="833" t="s">
        <v>549</v>
      </c>
      <c r="D52" s="833" t="s">
        <v>550</v>
      </c>
      <c r="E52" s="833" t="s">
        <v>551</v>
      </c>
      <c r="F52" s="833" t="s">
        <v>28</v>
      </c>
      <c r="G52" s="833" t="s">
        <v>691</v>
      </c>
      <c r="H52" s="833" t="s">
        <v>736</v>
      </c>
      <c r="I52" s="833" t="s">
        <v>547</v>
      </c>
      <c r="J52" s="432"/>
      <c r="K52" s="432"/>
      <c r="L52" s="432"/>
      <c r="M52" s="432"/>
      <c r="N52" s="432"/>
    </row>
    <row r="53" spans="1:14" ht="17.399999999999999" customHeight="1" x14ac:dyDescent="0.3">
      <c r="A53" s="183">
        <v>10</v>
      </c>
      <c r="B53" s="217" t="s">
        <v>693</v>
      </c>
      <c r="C53" s="183" t="s">
        <v>2667</v>
      </c>
      <c r="D53" s="241">
        <v>500</v>
      </c>
      <c r="E53" s="183" t="s">
        <v>695</v>
      </c>
      <c r="F53" s="183">
        <f>56/2</f>
        <v>28</v>
      </c>
      <c r="G53" s="183">
        <v>3000</v>
      </c>
      <c r="H53" s="183">
        <v>1</v>
      </c>
      <c r="I53" s="385">
        <f>D53*F53/G53*H53</f>
        <v>4.666666666666667</v>
      </c>
    </row>
    <row r="54" spans="1:14" x14ac:dyDescent="0.3">
      <c r="A54" s="432"/>
      <c r="B54" s="432"/>
      <c r="C54" s="432"/>
      <c r="D54" s="432"/>
      <c r="E54" s="432"/>
      <c r="F54" s="432"/>
      <c r="G54" s="432"/>
      <c r="H54" s="836" t="s">
        <v>547</v>
      </c>
      <c r="I54" s="835">
        <f>SUM(I53:I53)</f>
        <v>4.666666666666667</v>
      </c>
    </row>
    <row r="55" spans="1:14" x14ac:dyDescent="0.3">
      <c r="J55" s="432"/>
      <c r="K55" s="432"/>
      <c r="L55" s="432"/>
      <c r="M55" s="432"/>
      <c r="N55" s="432"/>
    </row>
    <row r="57" spans="1:14" s="432" customFormat="1" x14ac:dyDescent="0.3">
      <c r="A57" s="311"/>
      <c r="B57" s="311"/>
      <c r="C57" s="311"/>
      <c r="D57" s="311"/>
      <c r="E57" s="311"/>
      <c r="F57" s="311"/>
      <c r="G57" s="311"/>
      <c r="H57" s="311"/>
      <c r="I57" s="311"/>
      <c r="J57" s="311"/>
      <c r="K57" s="311"/>
      <c r="L57" s="311"/>
      <c r="M57" s="311"/>
      <c r="N57" s="311"/>
    </row>
    <row r="59" spans="1:14" s="432" customFormat="1" x14ac:dyDescent="0.3">
      <c r="A59" s="311"/>
      <c r="B59" s="311"/>
      <c r="C59" s="311"/>
      <c r="D59" s="311"/>
      <c r="E59" s="311"/>
      <c r="F59" s="311"/>
      <c r="G59" s="311"/>
      <c r="H59" s="311"/>
      <c r="I59" s="311"/>
      <c r="J59" s="311"/>
      <c r="K59" s="311"/>
      <c r="L59" s="311"/>
      <c r="M59" s="311"/>
      <c r="N59" s="311"/>
    </row>
    <row r="62" spans="1:14" s="432" customFormat="1" x14ac:dyDescent="0.3">
      <c r="A62" s="311"/>
      <c r="B62" s="311"/>
      <c r="C62" s="311"/>
      <c r="D62" s="311"/>
      <c r="E62" s="311"/>
      <c r="F62" s="311"/>
      <c r="G62" s="311"/>
      <c r="H62" s="311"/>
      <c r="I62" s="311"/>
      <c r="J62" s="311"/>
      <c r="K62" s="311"/>
      <c r="L62" s="311"/>
      <c r="M62" s="311"/>
      <c r="N62" s="311"/>
    </row>
  </sheetData>
  <pageMargins left="0.7" right="0.7" top="0.75" bottom="0.75" header="0.3" footer="0.3"/>
  <pageSetup paperSize="9" scale="35" orientation="landscape" r:id="rId1"/>
  <rowBreaks count="1" manualBreakCount="1">
    <brk id="42" max="13" man="1"/>
  </rowBreaks>
  <drawing r:id="rId2"/>
</worksheet>
</file>

<file path=xl/worksheets/sheet2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1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0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2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N11+I22</f>
        <v>8.6272738399999973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431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2699</v>
      </c>
      <c r="D4" s="837" t="s">
        <v>541</v>
      </c>
      <c r="J4" s="837" t="s">
        <v>538</v>
      </c>
      <c r="M4" s="837" t="s">
        <v>539</v>
      </c>
      <c r="N4" s="336">
        <f>N1*N2</f>
        <v>17.254547679999995</v>
      </c>
    </row>
    <row r="5" spans="1:14" x14ac:dyDescent="0.3">
      <c r="A5" s="837" t="s">
        <v>537</v>
      </c>
      <c r="B5" s="199" t="s">
        <v>432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 t="s">
        <v>2668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606</v>
      </c>
      <c r="C10" s="183" t="s">
        <v>607</v>
      </c>
      <c r="D10" s="241">
        <v>2.25</v>
      </c>
      <c r="E10" s="459">
        <v>3.3000000000000002E-2</v>
      </c>
      <c r="F10" s="183" t="s">
        <v>644</v>
      </c>
      <c r="G10" s="183">
        <v>3.5999999999999997E-2</v>
      </c>
      <c r="H10" s="204" t="s">
        <v>644</v>
      </c>
      <c r="I10" s="269" t="s">
        <v>2703</v>
      </c>
      <c r="J10" s="844">
        <f>E10*G10</f>
        <v>1.188E-3</v>
      </c>
      <c r="K10" s="207">
        <v>2.8000000000000001E-2</v>
      </c>
      <c r="L10" s="204">
        <v>7860</v>
      </c>
      <c r="M10" s="183">
        <v>1</v>
      </c>
      <c r="N10" s="385">
        <f>IF(J10="",D10*M10,D10*J10*K10*L10*M10)</f>
        <v>0.58827384000000005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841">
        <f>SUM(N10:N10)</f>
        <v>0.58827384000000005</v>
      </c>
    </row>
    <row r="12" spans="1:14" x14ac:dyDescent="0.3">
      <c r="H12" s="326"/>
      <c r="I12" s="325"/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L13" s="178"/>
      <c r="M13" s="178"/>
      <c r="N13" s="178"/>
    </row>
    <row r="14" spans="1:14" s="311" customFormat="1" ht="28.8" x14ac:dyDescent="0.3">
      <c r="A14" s="183">
        <v>10</v>
      </c>
      <c r="B14" s="180" t="s">
        <v>589</v>
      </c>
      <c r="C14" s="414"/>
      <c r="D14" s="241">
        <v>1.3</v>
      </c>
      <c r="E14" s="183"/>
      <c r="F14" s="183">
        <v>1</v>
      </c>
      <c r="G14" s="183"/>
      <c r="H14" s="183"/>
      <c r="I14" s="241">
        <f>IF($H14&lt;&gt;"",$D14*$F14*$H14,$D14*$F14)</f>
        <v>1.3</v>
      </c>
    </row>
    <row r="15" spans="1:14" s="311" customFormat="1" ht="28.8" x14ac:dyDescent="0.3">
      <c r="A15" s="183">
        <v>20</v>
      </c>
      <c r="B15" s="180" t="s">
        <v>609</v>
      </c>
      <c r="C15" s="184" t="s">
        <v>1769</v>
      </c>
      <c r="D15" s="852">
        <v>0.04</v>
      </c>
      <c r="E15" s="180" t="s">
        <v>610</v>
      </c>
      <c r="F15" s="183">
        <v>14.2</v>
      </c>
      <c r="G15" s="184" t="s">
        <v>598</v>
      </c>
      <c r="H15" s="183">
        <v>3</v>
      </c>
      <c r="I15" s="241">
        <f t="shared" ref="I15:I21" si="0">IF($H15&lt;&gt;"",$D15*$F15*$H15,$D15*$F15)</f>
        <v>1.7039999999999997</v>
      </c>
    </row>
    <row r="16" spans="1:14" s="311" customFormat="1" ht="28.8" x14ac:dyDescent="0.3">
      <c r="A16" s="183">
        <v>30</v>
      </c>
      <c r="B16" s="180" t="s">
        <v>1876</v>
      </c>
      <c r="C16" s="183"/>
      <c r="D16" s="852">
        <v>0.65</v>
      </c>
      <c r="E16" s="180" t="s">
        <v>556</v>
      </c>
      <c r="F16" s="183">
        <v>1</v>
      </c>
      <c r="G16" s="183"/>
      <c r="H16" s="183"/>
      <c r="I16" s="241">
        <f t="shared" si="0"/>
        <v>0.65</v>
      </c>
    </row>
    <row r="17" spans="1:14" s="311" customFormat="1" ht="28.8" x14ac:dyDescent="0.3">
      <c r="A17" s="183">
        <v>40</v>
      </c>
      <c r="B17" s="180" t="s">
        <v>791</v>
      </c>
      <c r="C17" s="193" t="s">
        <v>2670</v>
      </c>
      <c r="D17" s="241">
        <v>0.35</v>
      </c>
      <c r="E17" s="183" t="s">
        <v>843</v>
      </c>
      <c r="F17" s="183">
        <v>1</v>
      </c>
      <c r="G17" s="184" t="s">
        <v>2671</v>
      </c>
      <c r="H17" s="183">
        <v>1.5</v>
      </c>
      <c r="I17" s="241">
        <f t="shared" si="0"/>
        <v>0.52499999999999991</v>
      </c>
    </row>
    <row r="18" spans="1:14" s="311" customFormat="1" ht="28.8" x14ac:dyDescent="0.3">
      <c r="A18" s="183">
        <v>50</v>
      </c>
      <c r="B18" s="180" t="s">
        <v>589</v>
      </c>
      <c r="C18" s="414"/>
      <c r="D18" s="241">
        <v>1.3</v>
      </c>
      <c r="E18" s="183"/>
      <c r="F18" s="183">
        <v>1</v>
      </c>
      <c r="G18" s="183"/>
      <c r="H18" s="183"/>
      <c r="I18" s="241">
        <f t="shared" si="0"/>
        <v>1.3</v>
      </c>
    </row>
    <row r="19" spans="1:14" s="432" customFormat="1" ht="28.8" x14ac:dyDescent="0.3">
      <c r="A19" s="183">
        <v>60</v>
      </c>
      <c r="B19" s="180" t="s">
        <v>609</v>
      </c>
      <c r="C19" s="193" t="s">
        <v>1770</v>
      </c>
      <c r="D19" s="241">
        <v>0.04</v>
      </c>
      <c r="E19" s="183" t="s">
        <v>610</v>
      </c>
      <c r="F19" s="183">
        <v>9.3000000000000007</v>
      </c>
      <c r="G19" s="184" t="s">
        <v>598</v>
      </c>
      <c r="H19" s="183">
        <v>3</v>
      </c>
      <c r="I19" s="241">
        <f t="shared" si="0"/>
        <v>1.1160000000000001</v>
      </c>
      <c r="J19" s="311"/>
      <c r="K19" s="311"/>
      <c r="L19" s="311"/>
      <c r="M19" s="311"/>
      <c r="N19" s="311"/>
    </row>
    <row r="20" spans="1:14" s="432" customFormat="1" ht="28.8" x14ac:dyDescent="0.3">
      <c r="A20" s="183">
        <v>70</v>
      </c>
      <c r="B20" s="180" t="s">
        <v>589</v>
      </c>
      <c r="C20" s="414"/>
      <c r="D20" s="241">
        <v>1.3</v>
      </c>
      <c r="E20" s="183"/>
      <c r="F20" s="183">
        <v>1</v>
      </c>
      <c r="G20" s="183"/>
      <c r="H20" s="183"/>
      <c r="I20" s="241">
        <f t="shared" si="0"/>
        <v>1.3</v>
      </c>
      <c r="J20" s="311"/>
      <c r="K20" s="311"/>
      <c r="L20" s="311"/>
      <c r="M20" s="311"/>
      <c r="N20" s="311"/>
    </row>
    <row r="21" spans="1:14" s="311" customFormat="1" ht="28.8" x14ac:dyDescent="0.3">
      <c r="A21" s="183">
        <v>80</v>
      </c>
      <c r="B21" s="180" t="s">
        <v>609</v>
      </c>
      <c r="C21" s="414" t="s">
        <v>2672</v>
      </c>
      <c r="D21" s="241">
        <v>0.04</v>
      </c>
      <c r="E21" s="183" t="s">
        <v>610</v>
      </c>
      <c r="F21" s="183">
        <v>1.2</v>
      </c>
      <c r="G21" s="184" t="s">
        <v>598</v>
      </c>
      <c r="H21" s="183">
        <v>3</v>
      </c>
      <c r="I21" s="241">
        <f t="shared" si="0"/>
        <v>0.14400000000000002</v>
      </c>
    </row>
    <row r="22" spans="1:14" s="178" customFormat="1" x14ac:dyDescent="0.3">
      <c r="H22" s="840" t="s">
        <v>547</v>
      </c>
      <c r="I22" s="841">
        <f>SUM(I14:I21)</f>
        <v>8.0389999999999979</v>
      </c>
      <c r="J22" s="161"/>
      <c r="K22" s="161"/>
      <c r="L22" s="161"/>
      <c r="M22" s="161"/>
      <c r="N22" s="161"/>
    </row>
    <row r="23" spans="1:14" x14ac:dyDescent="0.3">
      <c r="D23" s="248"/>
    </row>
    <row r="25" spans="1:14" s="178" customFormat="1" x14ac:dyDescent="0.3">
      <c r="A25" s="161"/>
      <c r="B25" s="161"/>
      <c r="C25" s="161"/>
      <c r="D25" s="161"/>
      <c r="E25" s="161"/>
      <c r="F25" s="161"/>
      <c r="G25" s="161"/>
      <c r="H25" s="161"/>
      <c r="I25" s="161"/>
      <c r="J25" s="161"/>
      <c r="K25" s="161"/>
      <c r="L25" s="161"/>
      <c r="M25" s="161"/>
      <c r="N25" s="161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x14ac:dyDescent="0.3">
      <c r="L29" s="178"/>
      <c r="M29" s="178"/>
      <c r="N29" s="178"/>
    </row>
    <row r="31" spans="1:14" x14ac:dyDescent="0.3">
      <c r="L31" s="178"/>
      <c r="M31" s="178"/>
      <c r="N31" s="178"/>
    </row>
    <row r="34" spans="1:14" x14ac:dyDescent="0.3">
      <c r="L34" s="178"/>
      <c r="M34" s="178"/>
      <c r="N34" s="178"/>
    </row>
    <row r="36" spans="1:14" s="178" customFormat="1" x14ac:dyDescent="0.3">
      <c r="A36" s="161"/>
      <c r="B36" s="161"/>
      <c r="C36" s="161"/>
      <c r="D36" s="161"/>
      <c r="E36" s="161"/>
      <c r="F36" s="161"/>
      <c r="G36" s="161"/>
      <c r="H36" s="161"/>
      <c r="I36" s="161"/>
      <c r="J36" s="161"/>
      <c r="K36" s="161"/>
      <c r="L36" s="161"/>
      <c r="M36" s="161"/>
      <c r="N36" s="161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</sheetData>
  <pageMargins left="0.7" right="0.7" top="0.75" bottom="0.75" header="0.3" footer="0.3"/>
  <pageSetup paperSize="9" orientation="landscape" r:id="rId1"/>
</worksheet>
</file>

<file path=xl/worksheets/sheet2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3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0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2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N11+I24</f>
        <v>10.563273839999999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431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2700</v>
      </c>
      <c r="D4" s="837" t="s">
        <v>541</v>
      </c>
      <c r="J4" s="837" t="s">
        <v>538</v>
      </c>
      <c r="M4" s="837" t="s">
        <v>539</v>
      </c>
      <c r="N4" s="336">
        <f>N1*N2</f>
        <v>21.126547679999998</v>
      </c>
    </row>
    <row r="5" spans="1:14" x14ac:dyDescent="0.3">
      <c r="A5" s="837" t="s">
        <v>537</v>
      </c>
      <c r="B5" s="199" t="s">
        <v>433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 t="s">
        <v>2668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606</v>
      </c>
      <c r="C10" s="183" t="s">
        <v>607</v>
      </c>
      <c r="D10" s="241">
        <v>2.25</v>
      </c>
      <c r="E10" s="459">
        <v>3.3000000000000002E-2</v>
      </c>
      <c r="F10" s="183" t="s">
        <v>644</v>
      </c>
      <c r="G10" s="183">
        <v>3.5999999999999997E-2</v>
      </c>
      <c r="H10" s="204" t="s">
        <v>644</v>
      </c>
      <c r="I10" s="269" t="s">
        <v>2703</v>
      </c>
      <c r="J10" s="844">
        <f>E10*G10</f>
        <v>1.188E-3</v>
      </c>
      <c r="K10" s="207">
        <v>2.8000000000000001E-2</v>
      </c>
      <c r="L10" s="204">
        <v>7860</v>
      </c>
      <c r="M10" s="183">
        <v>1</v>
      </c>
      <c r="N10" s="385">
        <f>IF(J10="",D10*M10,D10*J10*K10*L10*M10)</f>
        <v>0.58827384000000005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841">
        <f>SUM(N10:N10)</f>
        <v>0.58827384000000005</v>
      </c>
    </row>
    <row r="12" spans="1:14" x14ac:dyDescent="0.3">
      <c r="H12" s="326"/>
      <c r="I12" s="325"/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L13" s="178"/>
      <c r="M13" s="178"/>
      <c r="N13" s="178"/>
    </row>
    <row r="14" spans="1:14" s="311" customFormat="1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IF($H14&lt;&gt;"",$D14*$F14*$H14,$D14*$F14)</f>
        <v>1.3</v>
      </c>
    </row>
    <row r="15" spans="1:14" s="311" customFormat="1" ht="28.8" x14ac:dyDescent="0.3">
      <c r="A15" s="168">
        <v>20</v>
      </c>
      <c r="B15" s="180" t="s">
        <v>609</v>
      </c>
      <c r="C15" s="184" t="s">
        <v>1769</v>
      </c>
      <c r="D15" s="243">
        <v>0.04</v>
      </c>
      <c r="E15" s="180" t="s">
        <v>610</v>
      </c>
      <c r="F15" s="168">
        <v>16.2</v>
      </c>
      <c r="G15" s="168"/>
      <c r="H15" s="168">
        <v>3</v>
      </c>
      <c r="I15" s="323">
        <f t="shared" ref="I15:I23" si="0">IF($H15&lt;&gt;"",$D15*$F15*$H15,$D15*$F15)</f>
        <v>1.944</v>
      </c>
    </row>
    <row r="16" spans="1:14" s="311" customFormat="1" ht="28.8" x14ac:dyDescent="0.3">
      <c r="A16" s="168">
        <v>30</v>
      </c>
      <c r="B16" s="180" t="s">
        <v>1876</v>
      </c>
      <c r="C16" s="184"/>
      <c r="D16" s="243">
        <v>0.65</v>
      </c>
      <c r="E16" s="180" t="s">
        <v>556</v>
      </c>
      <c r="F16" s="168">
        <v>1</v>
      </c>
      <c r="G16" s="168"/>
      <c r="H16" s="168"/>
      <c r="I16" s="323">
        <f t="shared" si="0"/>
        <v>0.65</v>
      </c>
    </row>
    <row r="17" spans="1:14" s="311" customFormat="1" ht="28.8" x14ac:dyDescent="0.3">
      <c r="A17" s="168">
        <v>40</v>
      </c>
      <c r="B17" s="180" t="s">
        <v>791</v>
      </c>
      <c r="C17" s="193" t="s">
        <v>2670</v>
      </c>
      <c r="D17" s="323">
        <v>0.35</v>
      </c>
      <c r="E17" s="168" t="s">
        <v>843</v>
      </c>
      <c r="F17" s="168">
        <v>1</v>
      </c>
      <c r="G17" s="184" t="s">
        <v>2671</v>
      </c>
      <c r="H17" s="168">
        <v>1.5</v>
      </c>
      <c r="I17" s="323">
        <f t="shared" si="0"/>
        <v>0.52499999999999991</v>
      </c>
    </row>
    <row r="18" spans="1:14" s="311" customFormat="1" ht="28.8" x14ac:dyDescent="0.3">
      <c r="A18" s="168">
        <v>50</v>
      </c>
      <c r="B18" s="180" t="s">
        <v>589</v>
      </c>
      <c r="C18" s="193"/>
      <c r="D18" s="323">
        <v>1.3</v>
      </c>
      <c r="E18" s="168"/>
      <c r="F18" s="168">
        <v>1</v>
      </c>
      <c r="G18" s="168"/>
      <c r="H18" s="168"/>
      <c r="I18" s="323">
        <f t="shared" si="0"/>
        <v>1.3</v>
      </c>
    </row>
    <row r="19" spans="1:14" s="432" customFormat="1" ht="28.8" x14ac:dyDescent="0.3">
      <c r="A19" s="168">
        <v>60</v>
      </c>
      <c r="B19" s="180" t="s">
        <v>609</v>
      </c>
      <c r="C19" s="193" t="s">
        <v>1770</v>
      </c>
      <c r="D19" s="323">
        <v>0.04</v>
      </c>
      <c r="E19" s="168" t="s">
        <v>610</v>
      </c>
      <c r="F19" s="168">
        <v>10.8</v>
      </c>
      <c r="G19" s="168"/>
      <c r="H19" s="168">
        <v>3</v>
      </c>
      <c r="I19" s="323">
        <f t="shared" si="0"/>
        <v>1.2960000000000003</v>
      </c>
      <c r="J19" s="311"/>
      <c r="K19" s="311"/>
      <c r="L19" s="311"/>
      <c r="M19" s="311"/>
      <c r="N19" s="311"/>
    </row>
    <row r="20" spans="1:14" s="432" customFormat="1" ht="28.8" x14ac:dyDescent="0.3">
      <c r="A20" s="168">
        <v>70</v>
      </c>
      <c r="B20" s="180" t="s">
        <v>589</v>
      </c>
      <c r="C20" s="193"/>
      <c r="D20" s="323">
        <v>1.3</v>
      </c>
      <c r="E20" s="168"/>
      <c r="F20" s="168">
        <v>1</v>
      </c>
      <c r="G20" s="168"/>
      <c r="H20" s="168"/>
      <c r="I20" s="323">
        <f t="shared" si="0"/>
        <v>1.3</v>
      </c>
      <c r="J20" s="311"/>
      <c r="K20" s="311"/>
      <c r="L20" s="311"/>
      <c r="M20" s="311"/>
      <c r="N20" s="311"/>
    </row>
    <row r="21" spans="1:14" s="311" customFormat="1" x14ac:dyDescent="0.3">
      <c r="A21" s="168">
        <v>80</v>
      </c>
      <c r="B21" s="180" t="s">
        <v>609</v>
      </c>
      <c r="C21" s="193" t="s">
        <v>2704</v>
      </c>
      <c r="D21" s="323">
        <v>0.04</v>
      </c>
      <c r="E21" s="168" t="s">
        <v>610</v>
      </c>
      <c r="F21" s="168">
        <v>1.8</v>
      </c>
      <c r="G21" s="168"/>
      <c r="H21" s="168">
        <v>3</v>
      </c>
      <c r="I21" s="323">
        <f t="shared" si="0"/>
        <v>0.21600000000000003</v>
      </c>
    </row>
    <row r="22" spans="1:14" s="178" customFormat="1" ht="28.8" x14ac:dyDescent="0.3">
      <c r="A22" s="168">
        <v>90</v>
      </c>
      <c r="B22" s="180" t="s">
        <v>589</v>
      </c>
      <c r="C22" s="193"/>
      <c r="D22" s="323">
        <v>1.3</v>
      </c>
      <c r="E22" s="168"/>
      <c r="F22" s="168">
        <v>1</v>
      </c>
      <c r="G22" s="168"/>
      <c r="H22" s="168"/>
      <c r="I22" s="323">
        <f t="shared" si="0"/>
        <v>1.3</v>
      </c>
      <c r="J22" s="161"/>
      <c r="K22" s="161"/>
      <c r="L22" s="161"/>
      <c r="M22" s="161"/>
      <c r="N22" s="161"/>
    </row>
    <row r="23" spans="1:14" x14ac:dyDescent="0.3">
      <c r="A23" s="168">
        <v>100</v>
      </c>
      <c r="B23" s="180" t="s">
        <v>609</v>
      </c>
      <c r="C23" s="193" t="s">
        <v>2705</v>
      </c>
      <c r="D23" s="323">
        <v>0.04</v>
      </c>
      <c r="E23" s="168" t="s">
        <v>610</v>
      </c>
      <c r="F23" s="168">
        <v>1.2</v>
      </c>
      <c r="G23" s="168"/>
      <c r="H23" s="168">
        <v>3</v>
      </c>
      <c r="I23" s="323">
        <f t="shared" si="0"/>
        <v>0.14400000000000002</v>
      </c>
    </row>
    <row r="24" spans="1:14" x14ac:dyDescent="0.3">
      <c r="A24" s="178"/>
      <c r="B24" s="178"/>
      <c r="C24" s="178"/>
      <c r="D24" s="178"/>
      <c r="E24" s="178"/>
      <c r="F24" s="178"/>
      <c r="G24" s="178"/>
      <c r="H24" s="840" t="s">
        <v>547</v>
      </c>
      <c r="I24" s="841">
        <f>SUM(I14:I23)</f>
        <v>9.9749999999999996</v>
      </c>
    </row>
    <row r="25" spans="1:14" x14ac:dyDescent="0.3">
      <c r="D25" s="248"/>
    </row>
    <row r="26" spans="1:14" x14ac:dyDescent="0.3">
      <c r="L26" s="178"/>
      <c r="M26" s="178"/>
      <c r="N26" s="178"/>
    </row>
    <row r="28" spans="1:14" s="178" customFormat="1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  <c r="L28" s="161"/>
      <c r="M28" s="161"/>
      <c r="N28" s="161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3" spans="1:14" s="178" customFormat="1" x14ac:dyDescent="0.3">
      <c r="A33" s="161"/>
      <c r="B33" s="161"/>
      <c r="C33" s="161"/>
      <c r="D33" s="161"/>
      <c r="E33" s="161"/>
      <c r="F33" s="161"/>
      <c r="G33" s="161"/>
      <c r="H33" s="161"/>
      <c r="I33" s="161"/>
      <c r="J33" s="161"/>
      <c r="K33" s="161"/>
      <c r="L33" s="161"/>
      <c r="M33" s="161"/>
      <c r="N33" s="161"/>
    </row>
  </sheetData>
  <pageMargins left="0.7" right="0.7" top="0.75" bottom="0.75" header="0.3" footer="0.3"/>
  <pageSetup paperSize="9" orientation="landscape" r:id="rId1"/>
</worksheet>
</file>

<file path=xl/worksheets/sheet2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2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N11+I18</f>
        <v>3.1523818481530936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431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417</v>
      </c>
      <c r="D4" s="837" t="s">
        <v>541</v>
      </c>
      <c r="J4" s="837" t="s">
        <v>538</v>
      </c>
      <c r="M4" s="837" t="s">
        <v>539</v>
      </c>
      <c r="N4" s="336">
        <f>N1*N2</f>
        <v>12.609527392612375</v>
      </c>
    </row>
    <row r="5" spans="1:14" x14ac:dyDescent="0.3">
      <c r="A5" s="837" t="s">
        <v>537</v>
      </c>
      <c r="B5" s="199" t="s">
        <v>434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634" t="s">
        <v>726</v>
      </c>
      <c r="C10" s="183" t="s">
        <v>607</v>
      </c>
      <c r="D10" s="241">
        <v>2.25</v>
      </c>
      <c r="E10" s="183">
        <v>1.7000000000000001E-2</v>
      </c>
      <c r="F10" s="183" t="s">
        <v>644</v>
      </c>
      <c r="G10" s="183"/>
      <c r="H10" s="204"/>
      <c r="I10" s="269" t="s">
        <v>2673</v>
      </c>
      <c r="J10" s="206">
        <f>(E10*E10*PI())/4</f>
        <v>2.2698006922186259E-4</v>
      </c>
      <c r="K10" s="207">
        <v>2.7E-2</v>
      </c>
      <c r="L10" s="204">
        <v>7860</v>
      </c>
      <c r="M10" s="183">
        <v>1</v>
      </c>
      <c r="N10" s="385">
        <f>IF(J10="",D10*M10,D10*J10*K10*L10*M10)</f>
        <v>0.10838184815309328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0.10838184815309328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2.7</v>
      </c>
      <c r="G15" s="184" t="s">
        <v>598</v>
      </c>
      <c r="H15" s="168">
        <v>3</v>
      </c>
      <c r="I15" s="323">
        <f>IF($H15&lt;&gt;"",$D15*$F15*$H15,$D15*$F15)</f>
        <v>0.32400000000000007</v>
      </c>
    </row>
    <row r="16" spans="1:14" ht="43.2" x14ac:dyDescent="0.3">
      <c r="A16" s="168">
        <v>30</v>
      </c>
      <c r="B16" s="180" t="s">
        <v>589</v>
      </c>
      <c r="C16" s="171"/>
      <c r="D16" s="323">
        <v>1.3</v>
      </c>
      <c r="E16" s="168"/>
      <c r="F16" s="168">
        <v>1</v>
      </c>
      <c r="G16" s="168"/>
      <c r="H16" s="168"/>
      <c r="I16" s="323">
        <f>IF($H16&lt;&gt;"",$D16*$F16*$H16,$D16*$F16)</f>
        <v>1.3</v>
      </c>
    </row>
    <row r="17" spans="1:14" ht="28.8" x14ac:dyDescent="0.3">
      <c r="A17" s="168">
        <v>40</v>
      </c>
      <c r="B17" s="180" t="s">
        <v>609</v>
      </c>
      <c r="C17" s="193" t="s">
        <v>2674</v>
      </c>
      <c r="D17" s="323">
        <v>0.04</v>
      </c>
      <c r="E17" s="168" t="s">
        <v>610</v>
      </c>
      <c r="F17" s="168">
        <v>1</v>
      </c>
      <c r="G17" s="184" t="s">
        <v>598</v>
      </c>
      <c r="H17" s="168">
        <v>3</v>
      </c>
      <c r="I17" s="323">
        <f>IF($H17&lt;&gt;"",$D17*$F17*$H17,$D17*$F17)</f>
        <v>0.12</v>
      </c>
    </row>
    <row r="18" spans="1:14" x14ac:dyDescent="0.3">
      <c r="A18" s="178"/>
      <c r="B18" s="178"/>
      <c r="C18" s="178"/>
      <c r="D18" s="178"/>
      <c r="E18" s="178"/>
      <c r="F18" s="178"/>
      <c r="G18" s="178"/>
      <c r="H18" s="840" t="s">
        <v>547</v>
      </c>
      <c r="I18" s="841">
        <f>SUM(I14:I17)</f>
        <v>3.0440000000000005</v>
      </c>
    </row>
    <row r="19" spans="1:14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1" spans="1:14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3" spans="1:14" x14ac:dyDescent="0.3">
      <c r="J23" s="178"/>
      <c r="K23" s="178"/>
      <c r="L23" s="178"/>
      <c r="M23" s="178"/>
      <c r="N23" s="178"/>
    </row>
    <row r="25" spans="1:14" x14ac:dyDescent="0.3">
      <c r="K25" s="178"/>
      <c r="L25" s="178"/>
      <c r="M25" s="178"/>
      <c r="N25" s="178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2" spans="1:14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</row>
    <row r="34" spans="1:14" x14ac:dyDescent="0.3">
      <c r="K34" s="178"/>
      <c r="L34" s="178"/>
      <c r="M34" s="178"/>
      <c r="N34" s="178"/>
    </row>
    <row r="36" spans="1:14" x14ac:dyDescent="0.3">
      <c r="K36" s="178"/>
      <c r="L36" s="178"/>
      <c r="M36" s="178"/>
      <c r="N36" s="178"/>
    </row>
    <row r="39" spans="1:14" x14ac:dyDescent="0.3">
      <c r="K39" s="178"/>
      <c r="L39" s="178"/>
      <c r="M39" s="178"/>
      <c r="N39" s="178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46" spans="1:14" s="178" customFormat="1" x14ac:dyDescent="0.3">
      <c r="A46" s="161"/>
      <c r="B46" s="161"/>
      <c r="C46" s="161"/>
      <c r="D46" s="161"/>
      <c r="E46" s="161"/>
      <c r="F46" s="161"/>
      <c r="G46" s="161"/>
      <c r="H46" s="161"/>
      <c r="I46" s="161"/>
      <c r="J46" s="161"/>
      <c r="K46" s="161"/>
      <c r="L46" s="161"/>
      <c r="M46" s="161"/>
      <c r="N46" s="161"/>
    </row>
  </sheetData>
  <pageMargins left="0.7" right="0.7" top="0.75" bottom="0.75" header="0.3" footer="0.3"/>
  <pageSetup paperSize="9" scale="67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">
    <tabColor theme="0" tint="-0.249977111117893"/>
  </sheetPr>
  <dimension ref="A1:P371"/>
  <sheetViews>
    <sheetView showGridLines="0" zoomScale="85" zoomScaleNormal="85" workbookViewId="0"/>
  </sheetViews>
  <sheetFormatPr defaultColWidth="9.109375" defaultRowHeight="13.2" x14ac:dyDescent="0.25"/>
  <cols>
    <col min="1" max="1" width="17.44140625" style="141" bestFit="1" customWidth="1"/>
    <col min="2" max="2" width="30.33203125" style="146" customWidth="1"/>
    <col min="3" max="3" width="12" style="141" customWidth="1"/>
    <col min="4" max="4" width="12.44140625" style="141" customWidth="1"/>
    <col min="5" max="5" width="28.6640625" style="141" customWidth="1"/>
    <col min="6" max="6" width="33.6640625" style="143" customWidth="1"/>
    <col min="7" max="7" width="19.88671875" style="141" customWidth="1"/>
    <col min="8" max="8" width="14" style="141" customWidth="1"/>
    <col min="9" max="9" width="10.44140625" style="144" customWidth="1"/>
    <col min="10" max="10" width="12.5546875" style="144" customWidth="1"/>
    <col min="11" max="11" width="12" style="144" customWidth="1"/>
    <col min="12" max="13" width="10.44140625" style="144" customWidth="1"/>
    <col min="14" max="14" width="13" style="141" customWidth="1"/>
    <col min="15" max="15" width="14.5546875" style="146" customWidth="1"/>
    <col min="16" max="16384" width="9.109375" style="146"/>
  </cols>
  <sheetData>
    <row r="1" spans="1:15" ht="15" thickBot="1" x14ac:dyDescent="0.35">
      <c r="A1" s="139" t="s">
        <v>523</v>
      </c>
      <c r="B1" s="140" t="s">
        <v>524</v>
      </c>
      <c r="D1" s="142"/>
      <c r="M1" s="145" t="s">
        <v>525</v>
      </c>
      <c r="N1" s="145"/>
      <c r="O1" s="33">
        <f>N370</f>
        <v>17724.821263672122</v>
      </c>
    </row>
    <row r="2" spans="1:15" customFormat="1" ht="15.6" thickTop="1" thickBot="1" x14ac:dyDescent="0.35">
      <c r="A2" s="139" t="s">
        <v>526</v>
      </c>
      <c r="B2" s="140" t="s">
        <v>2946</v>
      </c>
      <c r="C2" s="147"/>
      <c r="F2" s="148"/>
    </row>
    <row r="3" spans="1:15" customFormat="1" ht="15.6" thickTop="1" thickBot="1" x14ac:dyDescent="0.35">
      <c r="A3" s="139" t="s">
        <v>527</v>
      </c>
      <c r="B3" s="149">
        <v>2015</v>
      </c>
      <c r="C3" s="147"/>
      <c r="F3" s="148"/>
    </row>
    <row r="4" spans="1:15" customFormat="1" ht="15.6" thickTop="1" thickBot="1" x14ac:dyDescent="0.35">
      <c r="A4" s="139" t="s">
        <v>528</v>
      </c>
      <c r="B4" s="957" t="s">
        <v>529</v>
      </c>
      <c r="C4" s="147"/>
      <c r="D4" s="142"/>
      <c r="F4" s="148"/>
    </row>
    <row r="5" spans="1:15" s="153" customFormat="1" ht="15" thickTop="1" x14ac:dyDescent="0.3">
      <c r="A5" s="150"/>
      <c r="B5" s="151"/>
      <c r="C5" s="152"/>
      <c r="F5" s="154"/>
    </row>
    <row r="6" spans="1:15" s="155" customFormat="1" ht="49.5" customHeight="1" x14ac:dyDescent="0.25">
      <c r="A6" s="25" t="s">
        <v>20</v>
      </c>
      <c r="B6" s="26" t="s">
        <v>21</v>
      </c>
      <c r="C6" s="26" t="s">
        <v>22</v>
      </c>
      <c r="D6" s="26" t="s">
        <v>23</v>
      </c>
      <c r="E6" s="26" t="s">
        <v>24</v>
      </c>
      <c r="F6" s="26" t="s">
        <v>25</v>
      </c>
      <c r="G6" s="26" t="s">
        <v>26</v>
      </c>
      <c r="H6" s="27" t="s">
        <v>27</v>
      </c>
      <c r="I6" s="26" t="s">
        <v>28</v>
      </c>
      <c r="J6" s="26" t="s">
        <v>29</v>
      </c>
      <c r="K6" s="26" t="s">
        <v>30</v>
      </c>
      <c r="L6" s="26" t="s">
        <v>31</v>
      </c>
      <c r="M6" s="26" t="s">
        <v>32</v>
      </c>
      <c r="N6" s="28" t="s">
        <v>33</v>
      </c>
      <c r="O6" s="26" t="s">
        <v>34</v>
      </c>
    </row>
    <row r="7" spans="1:15" ht="13.8" x14ac:dyDescent="0.25">
      <c r="A7" s="29">
        <v>1</v>
      </c>
      <c r="B7" s="30" t="s">
        <v>8</v>
      </c>
      <c r="C7" s="958" t="str">
        <f>'BR A0001'!B4</f>
        <v>BR A0001</v>
      </c>
      <c r="D7" s="32" t="s">
        <v>36</v>
      </c>
      <c r="E7" s="32"/>
      <c r="F7" s="30" t="s">
        <v>535</v>
      </c>
      <c r="G7" s="32"/>
      <c r="H7" s="33">
        <f>SUM(J7:M7)</f>
        <v>4.4799999999999995</v>
      </c>
      <c r="I7" s="959">
        <f>'BR A0001'!N2</f>
        <v>2</v>
      </c>
      <c r="J7" s="33">
        <v>0</v>
      </c>
      <c r="K7" s="33">
        <f>'BR A0001'!I26</f>
        <v>3.8199999999999994</v>
      </c>
      <c r="L7" s="33">
        <f>'BR A0001'!J34</f>
        <v>0.66</v>
      </c>
      <c r="M7" s="33">
        <v>0</v>
      </c>
      <c r="N7" s="33">
        <f>H7*I7</f>
        <v>8.9599999999999991</v>
      </c>
      <c r="O7" s="34"/>
    </row>
    <row r="8" spans="1:15" ht="13.8" x14ac:dyDescent="0.25">
      <c r="A8" s="976">
        <v>2</v>
      </c>
      <c r="B8" s="977" t="s">
        <v>8</v>
      </c>
      <c r="C8" s="975" t="s">
        <v>37</v>
      </c>
      <c r="D8" s="978" t="s">
        <v>36</v>
      </c>
      <c r="E8" s="978" t="s">
        <v>535</v>
      </c>
      <c r="F8" s="977" t="str">
        <f>'BR 01001'!B4</f>
        <v>Brake Rotor</v>
      </c>
      <c r="G8" s="978"/>
      <c r="H8" s="979">
        <f t="shared" ref="H8:H25" si="0">SUM(J8:M8)</f>
        <v>5.3782154600000007</v>
      </c>
      <c r="I8" s="980">
        <f>'BR 01001'!N2</f>
        <v>2</v>
      </c>
      <c r="J8" s="979">
        <f>'BR 01001'!N11</f>
        <v>1.3309329600000002</v>
      </c>
      <c r="K8" s="979">
        <f>'BR 01001'!I16</f>
        <v>4.0472825000000006</v>
      </c>
      <c r="L8" s="979">
        <v>0</v>
      </c>
      <c r="M8" s="979">
        <v>0</v>
      </c>
      <c r="N8" s="979">
        <f t="shared" ref="N8:N25" si="1">H8*I8</f>
        <v>10.756430920000001</v>
      </c>
      <c r="O8" s="981"/>
    </row>
    <row r="9" spans="1:15" ht="13.8" x14ac:dyDescent="0.25">
      <c r="A9" s="976">
        <v>3</v>
      </c>
      <c r="B9" s="977" t="s">
        <v>8</v>
      </c>
      <c r="C9" s="975" t="s">
        <v>39</v>
      </c>
      <c r="D9" s="978" t="s">
        <v>36</v>
      </c>
      <c r="E9" s="978" t="s">
        <v>535</v>
      </c>
      <c r="F9" s="977" t="str">
        <f>'BR 01002'!B4</f>
        <v>Brake Shrink Disc</v>
      </c>
      <c r="G9" s="978"/>
      <c r="H9" s="979">
        <f t="shared" si="0"/>
        <v>6.9797859406250007</v>
      </c>
      <c r="I9" s="980">
        <f>'BR 01002'!N2</f>
        <v>2</v>
      </c>
      <c r="J9" s="979">
        <f>'BR 01002'!N11</f>
        <v>1.8897859406250002</v>
      </c>
      <c r="K9" s="979">
        <f>'BR 01002'!I16</f>
        <v>5.0900000000000007</v>
      </c>
      <c r="L9" s="979">
        <v>0</v>
      </c>
      <c r="M9" s="979">
        <v>0</v>
      </c>
      <c r="N9" s="979">
        <f t="shared" si="1"/>
        <v>13.959571881250001</v>
      </c>
      <c r="O9" s="981"/>
    </row>
    <row r="10" spans="1:15" ht="13.8" x14ac:dyDescent="0.25">
      <c r="A10" s="976">
        <v>4</v>
      </c>
      <c r="B10" s="977" t="s">
        <v>8</v>
      </c>
      <c r="C10" s="975" t="s">
        <v>41</v>
      </c>
      <c r="D10" s="978" t="s">
        <v>36</v>
      </c>
      <c r="E10" s="978" t="s">
        <v>535</v>
      </c>
      <c r="F10" s="977" t="str">
        <f>'BR 01003'!B4</f>
        <v>Brake Caliper</v>
      </c>
      <c r="G10" s="978"/>
      <c r="H10" s="979">
        <f t="shared" si="0"/>
        <v>83</v>
      </c>
      <c r="I10" s="980">
        <f>'BR 01003'!N2</f>
        <v>2</v>
      </c>
      <c r="J10" s="979">
        <f>'BR 01003'!N11</f>
        <v>83</v>
      </c>
      <c r="K10" s="979">
        <v>0</v>
      </c>
      <c r="L10" s="979">
        <v>0</v>
      </c>
      <c r="M10" s="979">
        <v>0</v>
      </c>
      <c r="N10" s="979">
        <f t="shared" si="1"/>
        <v>166</v>
      </c>
      <c r="O10" s="981"/>
    </row>
    <row r="11" spans="1:15" ht="13.8" x14ac:dyDescent="0.25">
      <c r="A11" s="976">
        <v>5</v>
      </c>
      <c r="B11" s="977" t="s">
        <v>8</v>
      </c>
      <c r="C11" s="975" t="s">
        <v>43</v>
      </c>
      <c r="D11" s="978" t="s">
        <v>36</v>
      </c>
      <c r="E11" s="978" t="s">
        <v>535</v>
      </c>
      <c r="F11" s="977" t="str">
        <f>'BR 01004'!B4</f>
        <v>Brake pad</v>
      </c>
      <c r="G11" s="978"/>
      <c r="H11" s="979">
        <f t="shared" si="0"/>
        <v>0.96000000000000019</v>
      </c>
      <c r="I11" s="980">
        <f>'BR 01004'!N2</f>
        <v>4</v>
      </c>
      <c r="J11" s="979">
        <f>'BR 01004'!N11</f>
        <v>0.96000000000000019</v>
      </c>
      <c r="K11" s="979">
        <v>0</v>
      </c>
      <c r="L11" s="979">
        <v>0</v>
      </c>
      <c r="M11" s="979">
        <v>0</v>
      </c>
      <c r="N11" s="979">
        <f t="shared" si="1"/>
        <v>3.8400000000000007</v>
      </c>
      <c r="O11" s="981"/>
    </row>
    <row r="12" spans="1:15" ht="13.8" x14ac:dyDescent="0.25">
      <c r="A12" s="976">
        <v>6</v>
      </c>
      <c r="B12" s="977" t="s">
        <v>8</v>
      </c>
      <c r="C12" s="975" t="s">
        <v>45</v>
      </c>
      <c r="D12" s="978" t="s">
        <v>36</v>
      </c>
      <c r="E12" s="978" t="s">
        <v>535</v>
      </c>
      <c r="F12" s="977" t="str">
        <f>'BR 01005'!B4</f>
        <v>Brake rotor button</v>
      </c>
      <c r="G12" s="978"/>
      <c r="H12" s="979">
        <f t="shared" si="0"/>
        <v>0.15302449653333333</v>
      </c>
      <c r="I12" s="980">
        <f>'BR 01005'!N2</f>
        <v>12</v>
      </c>
      <c r="J12" s="979">
        <f>'BR 01005'!N11</f>
        <v>1.5891163199999999E-2</v>
      </c>
      <c r="K12" s="979">
        <f>'BR 01005'!I16</f>
        <v>0.13713333333333333</v>
      </c>
      <c r="L12" s="979">
        <v>0</v>
      </c>
      <c r="M12" s="979">
        <v>0</v>
      </c>
      <c r="N12" s="979">
        <f t="shared" si="1"/>
        <v>1.8362939584</v>
      </c>
      <c r="O12" s="981"/>
    </row>
    <row r="13" spans="1:15" ht="13.8" x14ac:dyDescent="0.25">
      <c r="A13" s="29">
        <v>7</v>
      </c>
      <c r="B13" s="30" t="s">
        <v>8</v>
      </c>
      <c r="C13" s="31" t="s">
        <v>46</v>
      </c>
      <c r="D13" s="32" t="s">
        <v>36</v>
      </c>
      <c r="E13" s="32"/>
      <c r="F13" s="30" t="s">
        <v>47</v>
      </c>
      <c r="G13" s="32"/>
      <c r="H13" s="33">
        <f t="shared" si="0"/>
        <v>4.33</v>
      </c>
      <c r="I13" s="959">
        <f>'BR A0002'!N2</f>
        <v>2</v>
      </c>
      <c r="J13" s="33">
        <v>0</v>
      </c>
      <c r="K13" s="33">
        <f>'BR A0002'!I26</f>
        <v>3.59</v>
      </c>
      <c r="L13" s="33">
        <f>'BR A0002'!J34</f>
        <v>0.74</v>
      </c>
      <c r="M13" s="33">
        <v>0</v>
      </c>
      <c r="N13" s="33">
        <f t="shared" si="1"/>
        <v>8.66</v>
      </c>
      <c r="O13" s="34"/>
    </row>
    <row r="14" spans="1:15" ht="13.8" x14ac:dyDescent="0.25">
      <c r="A14" s="976">
        <v>8</v>
      </c>
      <c r="B14" s="977" t="s">
        <v>8</v>
      </c>
      <c r="C14" s="982" t="s">
        <v>48</v>
      </c>
      <c r="D14" s="978" t="s">
        <v>36</v>
      </c>
      <c r="E14" s="978" t="s">
        <v>47</v>
      </c>
      <c r="F14" s="977" t="str">
        <f>'BR 02001'!B4</f>
        <v>Brake Rotor</v>
      </c>
      <c r="G14" s="978"/>
      <c r="H14" s="979">
        <f t="shared" si="0"/>
        <v>5.3782154600000007</v>
      </c>
      <c r="I14" s="980">
        <f>'BR 02001'!N2</f>
        <v>2</v>
      </c>
      <c r="J14" s="979">
        <f>'BR 02001'!N11</f>
        <v>1.3309329600000002</v>
      </c>
      <c r="K14" s="979">
        <f>'BR 02001'!I16</f>
        <v>4.0472825000000006</v>
      </c>
      <c r="L14" s="979">
        <v>0</v>
      </c>
      <c r="M14" s="979">
        <v>0</v>
      </c>
      <c r="N14" s="979">
        <f t="shared" si="1"/>
        <v>10.756430920000001</v>
      </c>
      <c r="O14" s="981"/>
    </row>
    <row r="15" spans="1:15" ht="13.8" x14ac:dyDescent="0.25">
      <c r="A15" s="976">
        <v>9</v>
      </c>
      <c r="B15" s="977" t="s">
        <v>8</v>
      </c>
      <c r="C15" s="975" t="s">
        <v>49</v>
      </c>
      <c r="D15" s="978" t="s">
        <v>36</v>
      </c>
      <c r="E15" s="978" t="s">
        <v>47</v>
      </c>
      <c r="F15" s="977" t="str">
        <f>'BR 02002'!B4</f>
        <v>Brake Shrink Disc</v>
      </c>
      <c r="G15" s="978"/>
      <c r="H15" s="979">
        <f t="shared" si="0"/>
        <v>6.9797859406250007</v>
      </c>
      <c r="I15" s="980">
        <f>'BR 02002'!N2</f>
        <v>2</v>
      </c>
      <c r="J15" s="979">
        <f>'BR 02002'!N11</f>
        <v>1.8897859406250002</v>
      </c>
      <c r="K15" s="979">
        <f>'BR 02002'!I16</f>
        <v>5.0900000000000007</v>
      </c>
      <c r="L15" s="979">
        <v>0</v>
      </c>
      <c r="M15" s="979">
        <v>0</v>
      </c>
      <c r="N15" s="979">
        <f t="shared" si="1"/>
        <v>13.959571881250001</v>
      </c>
      <c r="O15" s="981"/>
    </row>
    <row r="16" spans="1:15" ht="13.8" x14ac:dyDescent="0.25">
      <c r="A16" s="976">
        <v>10</v>
      </c>
      <c r="B16" s="977" t="s">
        <v>8</v>
      </c>
      <c r="C16" s="982" t="s">
        <v>50</v>
      </c>
      <c r="D16" s="978" t="s">
        <v>36</v>
      </c>
      <c r="E16" s="978" t="s">
        <v>47</v>
      </c>
      <c r="F16" s="977" t="str">
        <f>'BR 02003'!B4</f>
        <v>Brake Caliper</v>
      </c>
      <c r="G16" s="978"/>
      <c r="H16" s="979">
        <f t="shared" si="0"/>
        <v>83</v>
      </c>
      <c r="I16" s="980">
        <f>'BR 02003'!N2</f>
        <v>2</v>
      </c>
      <c r="J16" s="979">
        <f>'BR 02003'!N11</f>
        <v>83</v>
      </c>
      <c r="K16" s="979">
        <v>0</v>
      </c>
      <c r="L16" s="979">
        <v>0</v>
      </c>
      <c r="M16" s="979">
        <v>0</v>
      </c>
      <c r="N16" s="979">
        <f>H16*I16</f>
        <v>166</v>
      </c>
      <c r="O16" s="981"/>
    </row>
    <row r="17" spans="1:16" ht="13.8" x14ac:dyDescent="0.25">
      <c r="A17" s="976">
        <v>11</v>
      </c>
      <c r="B17" s="977" t="s">
        <v>8</v>
      </c>
      <c r="C17" s="975" t="s">
        <v>51</v>
      </c>
      <c r="D17" s="978" t="s">
        <v>36</v>
      </c>
      <c r="E17" s="978" t="s">
        <v>47</v>
      </c>
      <c r="F17" s="977" t="str">
        <f>'BR 02004'!B4</f>
        <v>Brake pad</v>
      </c>
      <c r="G17" s="978"/>
      <c r="H17" s="979">
        <f t="shared" si="0"/>
        <v>0.96000000000000019</v>
      </c>
      <c r="I17" s="980">
        <f>'BR 02004'!N2</f>
        <v>4</v>
      </c>
      <c r="J17" s="979">
        <f>'BR 02004'!N11</f>
        <v>0.96000000000000019</v>
      </c>
      <c r="K17" s="979">
        <v>0</v>
      </c>
      <c r="L17" s="979">
        <v>0</v>
      </c>
      <c r="M17" s="979">
        <v>0</v>
      </c>
      <c r="N17" s="979">
        <f>H17*I17</f>
        <v>3.8400000000000007</v>
      </c>
      <c r="O17" s="981"/>
    </row>
    <row r="18" spans="1:16" ht="13.8" x14ac:dyDescent="0.25">
      <c r="A18" s="976">
        <v>12</v>
      </c>
      <c r="B18" s="977" t="s">
        <v>8</v>
      </c>
      <c r="C18" s="982" t="s">
        <v>52</v>
      </c>
      <c r="D18" s="978" t="s">
        <v>36</v>
      </c>
      <c r="E18" s="978" t="s">
        <v>47</v>
      </c>
      <c r="F18" s="977" t="str">
        <f>'BR 02005'!B4</f>
        <v>Brake rotor button</v>
      </c>
      <c r="G18" s="978"/>
      <c r="H18" s="979">
        <f t="shared" si="0"/>
        <v>0.15302449653333333</v>
      </c>
      <c r="I18" s="980">
        <f>'BR 02005'!N2</f>
        <v>12</v>
      </c>
      <c r="J18" s="979">
        <f>'BR 02005'!N11</f>
        <v>1.5891163199999999E-2</v>
      </c>
      <c r="K18" s="979">
        <f>'BR 02005'!I16</f>
        <v>0.13713333333333333</v>
      </c>
      <c r="L18" s="979">
        <v>0</v>
      </c>
      <c r="M18" s="979">
        <v>0</v>
      </c>
      <c r="N18" s="979">
        <f t="shared" si="1"/>
        <v>1.8362939584</v>
      </c>
      <c r="O18" s="981"/>
    </row>
    <row r="19" spans="1:16" ht="13.8" x14ac:dyDescent="0.25">
      <c r="A19" s="29">
        <v>13</v>
      </c>
      <c r="B19" s="30" t="s">
        <v>8</v>
      </c>
      <c r="C19" s="31" t="s">
        <v>54</v>
      </c>
      <c r="D19" s="32" t="s">
        <v>36</v>
      </c>
      <c r="E19" s="32"/>
      <c r="F19" s="30" t="s">
        <v>55</v>
      </c>
      <c r="G19" s="32"/>
      <c r="H19" s="33">
        <f t="shared" si="0"/>
        <v>458.10916666666668</v>
      </c>
      <c r="I19" s="959">
        <f>'BR A0003'!N2</f>
        <v>1</v>
      </c>
      <c r="J19" s="33">
        <f>'BR A0003'!N32</f>
        <v>395.83125000000001</v>
      </c>
      <c r="K19" s="33">
        <f>'BR A0003'!I60</f>
        <v>58.111249999999998</v>
      </c>
      <c r="L19" s="33">
        <f>'BR A0003'!J74</f>
        <v>3.5000000000000004</v>
      </c>
      <c r="M19" s="33">
        <f>'BR A0003'!I78</f>
        <v>0.66666666666666663</v>
      </c>
      <c r="N19" s="33">
        <f t="shared" si="1"/>
        <v>458.10916666666668</v>
      </c>
      <c r="O19" s="34"/>
    </row>
    <row r="20" spans="1:16" ht="13.8" x14ac:dyDescent="0.25">
      <c r="A20" s="976">
        <v>14</v>
      </c>
      <c r="B20" s="977" t="s">
        <v>8</v>
      </c>
      <c r="C20" s="975" t="s">
        <v>56</v>
      </c>
      <c r="D20" s="978" t="s">
        <v>36</v>
      </c>
      <c r="E20" s="977" t="s">
        <v>55</v>
      </c>
      <c r="F20" s="977" t="str">
        <f>'BR 03001'!B4</f>
        <v>Brake reservoir tab</v>
      </c>
      <c r="G20" s="978"/>
      <c r="H20" s="979">
        <f t="shared" si="0"/>
        <v>2.0579999999999998</v>
      </c>
      <c r="I20" s="980">
        <f>'BR 03001'!N2</f>
        <v>1</v>
      </c>
      <c r="J20" s="979">
        <f>'BR 03001'!N11</f>
        <v>0.01</v>
      </c>
      <c r="K20" s="979">
        <f>'BR 03001'!I17</f>
        <v>2.048</v>
      </c>
      <c r="L20" s="979">
        <v>0</v>
      </c>
      <c r="M20" s="979">
        <v>0</v>
      </c>
      <c r="N20" s="979">
        <f t="shared" si="1"/>
        <v>2.0579999999999998</v>
      </c>
      <c r="O20" s="981"/>
    </row>
    <row r="21" spans="1:16" ht="13.8" x14ac:dyDescent="0.25">
      <c r="A21" s="976">
        <v>15</v>
      </c>
      <c r="B21" s="977" t="s">
        <v>8</v>
      </c>
      <c r="C21" s="975" t="s">
        <v>58</v>
      </c>
      <c r="D21" s="978" t="s">
        <v>36</v>
      </c>
      <c r="E21" s="977" t="s">
        <v>55</v>
      </c>
      <c r="F21" s="977" t="str">
        <f>'BR 03002'!B4</f>
        <v>Brake reservoir mount</v>
      </c>
      <c r="G21" s="978"/>
      <c r="H21" s="979">
        <f t="shared" si="0"/>
        <v>2.073</v>
      </c>
      <c r="I21" s="980">
        <f>'BR 03002'!N2</f>
        <v>1</v>
      </c>
      <c r="J21" s="979">
        <f>'BR 03002'!N11</f>
        <v>0.01</v>
      </c>
      <c r="K21" s="979">
        <f>'BR 03002'!I17</f>
        <v>2.0630000000000002</v>
      </c>
      <c r="L21" s="979">
        <v>0</v>
      </c>
      <c r="M21" s="979">
        <v>0</v>
      </c>
      <c r="N21" s="979">
        <f t="shared" si="1"/>
        <v>2.073</v>
      </c>
      <c r="O21" s="981"/>
    </row>
    <row r="22" spans="1:16" ht="13.8" x14ac:dyDescent="0.25">
      <c r="A22" s="976">
        <v>16</v>
      </c>
      <c r="B22" s="977" t="s">
        <v>8</v>
      </c>
      <c r="C22" s="975" t="s">
        <v>60</v>
      </c>
      <c r="D22" s="978" t="s">
        <v>36</v>
      </c>
      <c r="E22" s="977" t="s">
        <v>55</v>
      </c>
      <c r="F22" s="977" t="str">
        <f>'BR 03003'!B4</f>
        <v>Master Cylinder</v>
      </c>
      <c r="G22" s="978"/>
      <c r="H22" s="979">
        <f t="shared" si="0"/>
        <v>97</v>
      </c>
      <c r="I22" s="980">
        <f>'BR 03003'!N2</f>
        <v>2</v>
      </c>
      <c r="J22" s="979">
        <f>'BR 03003'!N12</f>
        <v>97</v>
      </c>
      <c r="K22" s="979">
        <v>0</v>
      </c>
      <c r="L22" s="979">
        <v>0</v>
      </c>
      <c r="M22" s="979">
        <v>0</v>
      </c>
      <c r="N22" s="979">
        <f t="shared" si="1"/>
        <v>194</v>
      </c>
      <c r="O22" s="981"/>
    </row>
    <row r="23" spans="1:16" ht="13.8" x14ac:dyDescent="0.25">
      <c r="A23" s="976">
        <v>17</v>
      </c>
      <c r="B23" s="977" t="s">
        <v>8</v>
      </c>
      <c r="C23" s="975" t="s">
        <v>62</v>
      </c>
      <c r="D23" s="978" t="s">
        <v>36</v>
      </c>
      <c r="E23" s="977" t="s">
        <v>55</v>
      </c>
      <c r="F23" s="977" t="str">
        <f>'BR 03004'!B4</f>
        <v>Master Cylinder</v>
      </c>
      <c r="G23" s="978"/>
      <c r="H23" s="979">
        <f t="shared" si="0"/>
        <v>30</v>
      </c>
      <c r="I23" s="980">
        <f>'BR 03004'!N2</f>
        <v>1</v>
      </c>
      <c r="J23" s="979">
        <f>'BR 03004'!N11</f>
        <v>30</v>
      </c>
      <c r="K23" s="979">
        <v>0</v>
      </c>
      <c r="L23" s="979">
        <v>0</v>
      </c>
      <c r="M23" s="979">
        <v>0</v>
      </c>
      <c r="N23" s="979">
        <f t="shared" si="1"/>
        <v>30</v>
      </c>
      <c r="O23" s="981"/>
    </row>
    <row r="24" spans="1:16" ht="13.8" x14ac:dyDescent="0.25">
      <c r="A24" s="976">
        <v>18</v>
      </c>
      <c r="B24" s="977" t="s">
        <v>8</v>
      </c>
      <c r="C24" s="975" t="s">
        <v>64</v>
      </c>
      <c r="D24" s="978" t="s">
        <v>36</v>
      </c>
      <c r="E24" s="977" t="s">
        <v>55</v>
      </c>
      <c r="F24" s="977" t="str">
        <f>'BR 03005'!B4</f>
        <v>Tee tab</v>
      </c>
      <c r="G24" s="978"/>
      <c r="H24" s="979">
        <f t="shared" si="0"/>
        <v>2.04867017216</v>
      </c>
      <c r="I24" s="980">
        <f>'BR 03005'!N2</f>
        <v>1</v>
      </c>
      <c r="J24" s="979">
        <f>'BR 03005'!N11</f>
        <v>6.7017215999999992E-4</v>
      </c>
      <c r="K24" s="979">
        <f>'BR 03005'!I17</f>
        <v>2.048</v>
      </c>
      <c r="L24" s="979">
        <v>0</v>
      </c>
      <c r="M24" s="979">
        <v>0</v>
      </c>
      <c r="N24" s="979">
        <f t="shared" si="1"/>
        <v>2.04867017216</v>
      </c>
      <c r="O24" s="981"/>
    </row>
    <row r="25" spans="1:16" ht="13.8" x14ac:dyDescent="0.25">
      <c r="A25" s="976">
        <v>19</v>
      </c>
      <c r="B25" s="977" t="s">
        <v>8</v>
      </c>
      <c r="C25" s="975" t="s">
        <v>65</v>
      </c>
      <c r="D25" s="978" t="s">
        <v>36</v>
      </c>
      <c r="E25" s="977" t="s">
        <v>55</v>
      </c>
      <c r="F25" s="978" t="str">
        <f>'BR 03006'!B4</f>
        <v>Proportioning Valve mount</v>
      </c>
      <c r="G25" s="983"/>
      <c r="H25" s="979">
        <f t="shared" si="0"/>
        <v>3.7874069749999997</v>
      </c>
      <c r="I25" s="980">
        <f>'BR 03006'!N2</f>
        <v>1</v>
      </c>
      <c r="J25" s="979">
        <f>'BR 03006'!N11</f>
        <v>0.15624697499999998</v>
      </c>
      <c r="K25" s="979">
        <f>'BR 03006'!I17</f>
        <v>3.6311599999999995</v>
      </c>
      <c r="L25" s="979">
        <v>0</v>
      </c>
      <c r="M25" s="979">
        <v>0</v>
      </c>
      <c r="N25" s="984">
        <f t="shared" si="1"/>
        <v>3.7874069749999997</v>
      </c>
      <c r="O25" s="981"/>
    </row>
    <row r="26" spans="1:16" ht="14.4" thickBot="1" x14ac:dyDescent="0.3">
      <c r="A26" s="976">
        <v>20</v>
      </c>
      <c r="B26" s="977" t="s">
        <v>8</v>
      </c>
      <c r="C26" s="975" t="s">
        <v>730</v>
      </c>
      <c r="D26" s="978" t="s">
        <v>36</v>
      </c>
      <c r="E26" s="977" t="s">
        <v>55</v>
      </c>
      <c r="F26" s="978" t="str">
        <f>'BR 03007'!B4</f>
        <v>Brake reservoir protection</v>
      </c>
      <c r="G26" s="983"/>
      <c r="H26" s="979">
        <f>SUM(J26:M26)</f>
        <v>3.3639008000000001</v>
      </c>
      <c r="I26" s="980">
        <f>'BR 03007'!N2</f>
        <v>1</v>
      </c>
      <c r="J26" s="985">
        <f>'BR 03007'!N11</f>
        <v>0.16390079999999999</v>
      </c>
      <c r="K26" s="985">
        <f>'BR 03007'!I17</f>
        <v>3.2</v>
      </c>
      <c r="L26" s="985">
        <v>0</v>
      </c>
      <c r="M26" s="985">
        <v>0</v>
      </c>
      <c r="N26" s="986">
        <f>H26*I26</f>
        <v>3.3639008000000001</v>
      </c>
      <c r="O26" s="981"/>
    </row>
    <row r="27" spans="1:16" s="157" customFormat="1" ht="15" thickTop="1" thickBot="1" x14ac:dyDescent="0.3">
      <c r="A27" s="35">
        <v>21</v>
      </c>
      <c r="B27" s="36" t="s">
        <v>8</v>
      </c>
      <c r="C27" s="37"/>
      <c r="D27" s="37"/>
      <c r="E27" s="37"/>
      <c r="F27" s="36" t="s">
        <v>66</v>
      </c>
      <c r="G27" s="37"/>
      <c r="H27" s="38"/>
      <c r="I27" s="39"/>
      <c r="J27" s="40">
        <f>SUMPRODUCT(I7:I26,J7:J26)</f>
        <v>973.11633146645988</v>
      </c>
      <c r="K27" s="40">
        <f>SUMPRODUCT(I7:I26,K7:K26)</f>
        <v>125.76174</v>
      </c>
      <c r="L27" s="40">
        <f>SUMPRODUCT(I7:I26,L7:L26)</f>
        <v>6.3000000000000007</v>
      </c>
      <c r="M27" s="40">
        <f>SUMPRODUCT(I7:I26,M7:M26)</f>
        <v>0.66666666666666663</v>
      </c>
      <c r="N27" s="41">
        <f>SUM(N7:N26)</f>
        <v>1105.8447381331268</v>
      </c>
      <c r="O27" s="42"/>
      <c r="P27" s="156"/>
    </row>
    <row r="28" spans="1:16" ht="14.4" thickTop="1" x14ac:dyDescent="0.25">
      <c r="A28" s="43">
        <v>22</v>
      </c>
      <c r="B28" s="44" t="s">
        <v>9</v>
      </c>
      <c r="C28" s="45" t="s">
        <v>67</v>
      </c>
      <c r="D28" s="45" t="s">
        <v>36</v>
      </c>
      <c r="E28" s="45"/>
      <c r="F28" s="44" t="s">
        <v>68</v>
      </c>
      <c r="G28" s="45"/>
      <c r="H28" s="46">
        <f>SUM(J28:M28)</f>
        <v>132.18875000000003</v>
      </c>
      <c r="I28" s="960">
        <f>'EN A0001'!N2</f>
        <v>1</v>
      </c>
      <c r="J28" s="48">
        <f>'EN A0001'!N24</f>
        <v>43.85</v>
      </c>
      <c r="K28" s="49">
        <f>'EN A0001'!I47</f>
        <v>79.138750000000002</v>
      </c>
      <c r="L28" s="49">
        <f>'EN A0001'!J57</f>
        <v>4.2</v>
      </c>
      <c r="M28" s="49">
        <f>'EN A0001'!I61</f>
        <v>5</v>
      </c>
      <c r="N28" s="49">
        <f t="shared" ref="N28:N91" si="2">H28*I28</f>
        <v>132.18875000000003</v>
      </c>
      <c r="O28" s="50"/>
    </row>
    <row r="29" spans="1:16" ht="13.8" x14ac:dyDescent="0.25">
      <c r="A29" s="51">
        <v>23</v>
      </c>
      <c r="B29" s="52" t="s">
        <v>9</v>
      </c>
      <c r="C29" s="53" t="s">
        <v>69</v>
      </c>
      <c r="D29" s="54" t="s">
        <v>36</v>
      </c>
      <c r="E29" s="54" t="s">
        <v>68</v>
      </c>
      <c r="F29" s="52" t="str">
        <f>'EN 01001'!B4</f>
        <v>Engine</v>
      </c>
      <c r="G29" s="54" t="s">
        <v>70</v>
      </c>
      <c r="H29" s="55">
        <f>SUM(J29:M29)</f>
        <v>1500</v>
      </c>
      <c r="I29" s="390">
        <f>'EN 01001'!N2</f>
        <v>1</v>
      </c>
      <c r="J29" s="55">
        <f>'EN 01001'!N11</f>
        <v>1500</v>
      </c>
      <c r="K29" s="55">
        <v>0</v>
      </c>
      <c r="L29" s="55">
        <v>0</v>
      </c>
      <c r="M29" s="55">
        <v>0</v>
      </c>
      <c r="N29" s="55">
        <f t="shared" si="2"/>
        <v>1500</v>
      </c>
      <c r="O29" s="56"/>
    </row>
    <row r="30" spans="1:16" ht="13.8" x14ac:dyDescent="0.25">
      <c r="A30" s="51">
        <v>24</v>
      </c>
      <c r="B30" s="52" t="s">
        <v>9</v>
      </c>
      <c r="C30" s="53" t="s">
        <v>71</v>
      </c>
      <c r="D30" s="54" t="s">
        <v>36</v>
      </c>
      <c r="E30" s="54" t="s">
        <v>68</v>
      </c>
      <c r="F30" s="52" t="str">
        <f>'EN 01002'!B4</f>
        <v>Upper mount</v>
      </c>
      <c r="G30" s="54"/>
      <c r="H30" s="55">
        <f t="shared" ref="H30:H93" si="3">SUM(J30:M30)</f>
        <v>8.0453159999999997</v>
      </c>
      <c r="I30" s="390">
        <f>'EN 01002'!N2</f>
        <v>2</v>
      </c>
      <c r="J30" s="55">
        <f>'EN 01002'!N11</f>
        <v>1.6553159999999998</v>
      </c>
      <c r="K30" s="55">
        <f>'EN 01002'!I18</f>
        <v>6.3900000000000006</v>
      </c>
      <c r="L30" s="55">
        <v>0</v>
      </c>
      <c r="M30" s="55">
        <v>0</v>
      </c>
      <c r="N30" s="55">
        <f t="shared" si="2"/>
        <v>16.090631999999999</v>
      </c>
      <c r="O30" s="56"/>
    </row>
    <row r="31" spans="1:16" ht="13.8" x14ac:dyDescent="0.25">
      <c r="A31" s="51">
        <v>25</v>
      </c>
      <c r="B31" s="52" t="s">
        <v>9</v>
      </c>
      <c r="C31" s="53" t="s">
        <v>72</v>
      </c>
      <c r="D31" s="54" t="s">
        <v>36</v>
      </c>
      <c r="E31" s="54" t="s">
        <v>68</v>
      </c>
      <c r="F31" s="52" t="str">
        <f>'EN 01003'!B4</f>
        <v>Upper axle</v>
      </c>
      <c r="G31" s="54"/>
      <c r="H31" s="55">
        <f t="shared" si="3"/>
        <v>4.1617462582</v>
      </c>
      <c r="I31" s="390">
        <f>'EN 01003'!N2</f>
        <v>1</v>
      </c>
      <c r="J31" s="55">
        <f>'EN 01003'!N11</f>
        <v>0.82174625820000002</v>
      </c>
      <c r="K31" s="55">
        <f>'EN 01003'!I17</f>
        <v>3.3400000000000003</v>
      </c>
      <c r="L31" s="55">
        <v>0</v>
      </c>
      <c r="M31" s="55">
        <v>0</v>
      </c>
      <c r="N31" s="55">
        <f t="shared" si="2"/>
        <v>4.1617462582</v>
      </c>
      <c r="O31" s="56"/>
    </row>
    <row r="32" spans="1:16" ht="13.8" x14ac:dyDescent="0.25">
      <c r="A32" s="51">
        <v>26</v>
      </c>
      <c r="B32" s="52" t="s">
        <v>9</v>
      </c>
      <c r="C32" s="53" t="s">
        <v>73</v>
      </c>
      <c r="D32" s="54" t="s">
        <v>36</v>
      </c>
      <c r="E32" s="54" t="s">
        <v>68</v>
      </c>
      <c r="F32" s="52" t="str">
        <f>'EN 01004'!B4</f>
        <v>Bottom mount</v>
      </c>
      <c r="G32" s="54"/>
      <c r="H32" s="55">
        <f t="shared" si="3"/>
        <v>9.8042250400000004</v>
      </c>
      <c r="I32" s="390">
        <f>'EN 01004'!N2</f>
        <v>2</v>
      </c>
      <c r="J32" s="55">
        <f>'EN 01004'!N11</f>
        <v>1.0042250399999999</v>
      </c>
      <c r="K32" s="55">
        <f>'EN 01004'!I17</f>
        <v>8.8000000000000007</v>
      </c>
      <c r="L32" s="55">
        <v>0</v>
      </c>
      <c r="M32" s="55">
        <v>0</v>
      </c>
      <c r="N32" s="55">
        <f t="shared" si="2"/>
        <v>19.608450080000001</v>
      </c>
      <c r="O32" s="56"/>
    </row>
    <row r="33" spans="1:15" ht="13.8" x14ac:dyDescent="0.25">
      <c r="A33" s="51">
        <v>27</v>
      </c>
      <c r="B33" s="52" t="s">
        <v>9</v>
      </c>
      <c r="C33" s="53" t="s">
        <v>74</v>
      </c>
      <c r="D33" s="54" t="s">
        <v>36</v>
      </c>
      <c r="E33" s="54" t="s">
        <v>68</v>
      </c>
      <c r="F33" s="52" t="str">
        <f>'EN 01005'!B4</f>
        <v>Bottom link</v>
      </c>
      <c r="G33" s="54"/>
      <c r="H33" s="55">
        <f t="shared" si="3"/>
        <v>9.1639647999999987</v>
      </c>
      <c r="I33" s="390">
        <f>'EN 01005'!N2</f>
        <v>2</v>
      </c>
      <c r="J33" s="55">
        <f>'EN 01005'!N11</f>
        <v>1.8939647999999998</v>
      </c>
      <c r="K33" s="55">
        <f>'EN 01005'!I18</f>
        <v>7.27</v>
      </c>
      <c r="L33" s="55">
        <v>0</v>
      </c>
      <c r="M33" s="55">
        <v>0</v>
      </c>
      <c r="N33" s="55">
        <f t="shared" si="2"/>
        <v>18.327929599999997</v>
      </c>
      <c r="O33" s="56"/>
    </row>
    <row r="34" spans="1:15" ht="13.8" x14ac:dyDescent="0.25">
      <c r="A34" s="51">
        <v>28</v>
      </c>
      <c r="B34" s="52" t="s">
        <v>9</v>
      </c>
      <c r="C34" s="53" t="s">
        <v>75</v>
      </c>
      <c r="D34" s="54" t="s">
        <v>36</v>
      </c>
      <c r="E34" s="54" t="s">
        <v>68</v>
      </c>
      <c r="F34" s="52" t="str">
        <f>'EN 01006'!B4</f>
        <v>Bottom axle</v>
      </c>
      <c r="G34" s="54"/>
      <c r="H34" s="55">
        <f t="shared" si="3"/>
        <v>3.5073259762000002</v>
      </c>
      <c r="I34" s="390">
        <f>'EN 01006'!N2</f>
        <v>1</v>
      </c>
      <c r="J34" s="55">
        <f>'EN 01006'!N11</f>
        <v>0.76732597619999998</v>
      </c>
      <c r="K34" s="55">
        <f>'EN 01006'!I17</f>
        <v>2.74</v>
      </c>
      <c r="L34" s="55">
        <v>0</v>
      </c>
      <c r="M34" s="55">
        <v>0</v>
      </c>
      <c r="N34" s="55">
        <f t="shared" si="2"/>
        <v>3.5073259762000002</v>
      </c>
      <c r="O34" s="56"/>
    </row>
    <row r="35" spans="1:15" ht="13.8" x14ac:dyDescent="0.25">
      <c r="A35" s="51">
        <v>29</v>
      </c>
      <c r="B35" s="52" t="s">
        <v>9</v>
      </c>
      <c r="C35" s="53" t="s">
        <v>76</v>
      </c>
      <c r="D35" s="54" t="s">
        <v>36</v>
      </c>
      <c r="E35" s="54" t="s">
        <v>68</v>
      </c>
      <c r="F35" s="52" t="str">
        <f>'EN 01007'!B4</f>
        <v>Front mount</v>
      </c>
      <c r="G35" s="54"/>
      <c r="H35" s="55">
        <f t="shared" si="3"/>
        <v>2.3659143762500001</v>
      </c>
      <c r="I35" s="390">
        <f>'EN 01007'!N2</f>
        <v>2</v>
      </c>
      <c r="J35" s="55">
        <f>'EN 01007'!N11</f>
        <v>0.75591437625000002</v>
      </c>
      <c r="K35" s="55">
        <f>'EN 01007'!I16</f>
        <v>1.6099999999999999</v>
      </c>
      <c r="L35" s="55">
        <v>0</v>
      </c>
      <c r="M35" s="55">
        <v>0</v>
      </c>
      <c r="N35" s="55">
        <f t="shared" si="2"/>
        <v>4.7318287525000002</v>
      </c>
      <c r="O35" s="56"/>
    </row>
    <row r="36" spans="1:15" ht="13.8" x14ac:dyDescent="0.25">
      <c r="A36" s="51">
        <v>30</v>
      </c>
      <c r="B36" s="52" t="s">
        <v>9</v>
      </c>
      <c r="C36" s="53" t="s">
        <v>77</v>
      </c>
      <c r="D36" s="54" t="s">
        <v>36</v>
      </c>
      <c r="E36" s="54" t="s">
        <v>68</v>
      </c>
      <c r="F36" s="52" t="str">
        <f>'EN 01008'!B4</f>
        <v>Spacer</v>
      </c>
      <c r="G36" s="54"/>
      <c r="H36" s="55">
        <f t="shared" si="3"/>
        <v>0.760764</v>
      </c>
      <c r="I36" s="390">
        <f>'EN 01008'!N2</f>
        <v>2</v>
      </c>
      <c r="J36" s="55">
        <f>'EN 01008'!N11</f>
        <v>2.2764000000000003E-2</v>
      </c>
      <c r="K36" s="55">
        <f>'EN 01008'!I16</f>
        <v>0.73799999999999999</v>
      </c>
      <c r="L36" s="55">
        <v>0</v>
      </c>
      <c r="M36" s="55">
        <v>0</v>
      </c>
      <c r="N36" s="55">
        <f t="shared" si="2"/>
        <v>1.521528</v>
      </c>
      <c r="O36" s="56"/>
    </row>
    <row r="37" spans="1:15" ht="13.8" x14ac:dyDescent="0.25">
      <c r="A37" s="51">
        <v>31</v>
      </c>
      <c r="B37" s="52" t="s">
        <v>9</v>
      </c>
      <c r="C37" s="53" t="s">
        <v>79</v>
      </c>
      <c r="D37" s="54" t="s">
        <v>36</v>
      </c>
      <c r="E37" s="54" t="s">
        <v>68</v>
      </c>
      <c r="F37" s="52" t="str">
        <f>'EN 01009'!B4</f>
        <v>Obstruction plate</v>
      </c>
      <c r="G37" s="54"/>
      <c r="H37" s="55">
        <f t="shared" si="3"/>
        <v>3.2719504000000001</v>
      </c>
      <c r="I37" s="390">
        <f>'EN 01009'!N2</f>
        <v>2</v>
      </c>
      <c r="J37" s="55">
        <f>'EN 01009'!N11</f>
        <v>8.1950399999999993E-2</v>
      </c>
      <c r="K37" s="55">
        <f>'EN 01009'!I16</f>
        <v>3.19</v>
      </c>
      <c r="L37" s="55">
        <v>0</v>
      </c>
      <c r="M37" s="55">
        <v>0</v>
      </c>
      <c r="N37" s="55">
        <f t="shared" si="2"/>
        <v>6.5439008000000003</v>
      </c>
      <c r="O37" s="56"/>
    </row>
    <row r="38" spans="1:15" ht="13.8" x14ac:dyDescent="0.25">
      <c r="A38" s="43">
        <v>32</v>
      </c>
      <c r="B38" s="44" t="s">
        <v>9</v>
      </c>
      <c r="C38" s="57" t="s">
        <v>80</v>
      </c>
      <c r="D38" s="45" t="s">
        <v>36</v>
      </c>
      <c r="E38" s="45"/>
      <c r="F38" s="44" t="s">
        <v>81</v>
      </c>
      <c r="G38" s="45"/>
      <c r="H38" s="46">
        <f t="shared" si="3"/>
        <v>24.463333333333335</v>
      </c>
      <c r="I38" s="960">
        <f>'EN A0002'!N2</f>
        <v>1</v>
      </c>
      <c r="J38" s="46">
        <f>'EN A0002'!N22</f>
        <v>5</v>
      </c>
      <c r="K38" s="46">
        <f>'EN A0002'!I38</f>
        <v>17.590000000000003</v>
      </c>
      <c r="L38" s="46">
        <f>'EN A0002'!J46</f>
        <v>0.54</v>
      </c>
      <c r="M38" s="46">
        <f>'EN A0002'!I50</f>
        <v>1.3333333333333333</v>
      </c>
      <c r="N38" s="46">
        <f t="shared" si="2"/>
        <v>24.463333333333335</v>
      </c>
      <c r="O38" s="50"/>
    </row>
    <row r="39" spans="1:15" ht="13.8" x14ac:dyDescent="0.25">
      <c r="A39" s="51">
        <v>33</v>
      </c>
      <c r="B39" s="52" t="s">
        <v>9</v>
      </c>
      <c r="C39" s="53" t="s">
        <v>82</v>
      </c>
      <c r="D39" s="54" t="s">
        <v>36</v>
      </c>
      <c r="E39" s="58" t="s">
        <v>81</v>
      </c>
      <c r="F39" s="52" t="str">
        <f>'EN 02001'!B4</f>
        <v>Exhaust tip</v>
      </c>
      <c r="G39" s="54"/>
      <c r="H39" s="55">
        <f t="shared" si="3"/>
        <v>4.8586258624449092</v>
      </c>
      <c r="I39" s="390">
        <f>'EN 02001'!N2</f>
        <v>4</v>
      </c>
      <c r="J39" s="55">
        <f>'EN 02001'!N11</f>
        <v>0.7536258624449087</v>
      </c>
      <c r="K39" s="55">
        <f>'EN 02001'!I16</f>
        <v>4.1050000000000004</v>
      </c>
      <c r="L39" s="55">
        <v>0</v>
      </c>
      <c r="M39" s="55">
        <v>0</v>
      </c>
      <c r="N39" s="55">
        <f t="shared" si="2"/>
        <v>19.434503449779637</v>
      </c>
      <c r="O39" s="56"/>
    </row>
    <row r="40" spans="1:15" ht="13.8" x14ac:dyDescent="0.25">
      <c r="A40" s="51">
        <v>34</v>
      </c>
      <c r="B40" s="52" t="s">
        <v>9</v>
      </c>
      <c r="C40" s="53" t="s">
        <v>84</v>
      </c>
      <c r="D40" s="54" t="s">
        <v>36</v>
      </c>
      <c r="E40" s="54" t="s">
        <v>81</v>
      </c>
      <c r="F40" s="52" t="str">
        <f>'EN 02002'!B4</f>
        <v>Exhaust flange</v>
      </c>
      <c r="G40" s="59"/>
      <c r="H40" s="55">
        <f t="shared" si="3"/>
        <v>1.7349999999999999</v>
      </c>
      <c r="I40" s="390">
        <f>'EN 02002'!N2</f>
        <v>4</v>
      </c>
      <c r="J40" s="55">
        <f>'EN 02002'!N11</f>
        <v>0.35100000000000003</v>
      </c>
      <c r="K40" s="55">
        <f>'EN 02002'!I16</f>
        <v>1.3839999999999999</v>
      </c>
      <c r="L40" s="55">
        <v>0</v>
      </c>
      <c r="M40" s="55">
        <v>0</v>
      </c>
      <c r="N40" s="55">
        <f t="shared" si="2"/>
        <v>6.9399999999999995</v>
      </c>
      <c r="O40" s="56"/>
    </row>
    <row r="41" spans="1:15" ht="13.8" x14ac:dyDescent="0.25">
      <c r="A41" s="51">
        <v>35</v>
      </c>
      <c r="B41" s="52" t="s">
        <v>9</v>
      </c>
      <c r="C41" s="53" t="s">
        <v>85</v>
      </c>
      <c r="D41" s="54" t="s">
        <v>36</v>
      </c>
      <c r="E41" s="54" t="s">
        <v>81</v>
      </c>
      <c r="F41" s="52" t="str">
        <f>'EN 02003'!B4</f>
        <v>Exhaust headers</v>
      </c>
      <c r="G41" s="54"/>
      <c r="H41" s="55">
        <f t="shared" si="3"/>
        <v>76.747519999999994</v>
      </c>
      <c r="I41" s="390">
        <f>'EN 02003'!N2</f>
        <v>1</v>
      </c>
      <c r="J41" s="55">
        <f>'EN 02003'!N11</f>
        <v>4.04352</v>
      </c>
      <c r="K41" s="55">
        <f>'EN 02003'!I18</f>
        <v>64.703999999999994</v>
      </c>
      <c r="L41" s="55">
        <v>0</v>
      </c>
      <c r="M41" s="55">
        <f>'EN 02003'!I22</f>
        <v>8</v>
      </c>
      <c r="N41" s="55">
        <f t="shared" si="2"/>
        <v>76.747519999999994</v>
      </c>
      <c r="O41" s="56"/>
    </row>
    <row r="42" spans="1:15" ht="13.8" x14ac:dyDescent="0.25">
      <c r="A42" s="51">
        <v>36</v>
      </c>
      <c r="B42" s="52" t="s">
        <v>9</v>
      </c>
      <c r="C42" s="53" t="s">
        <v>86</v>
      </c>
      <c r="D42" s="54" t="s">
        <v>36</v>
      </c>
      <c r="E42" s="54" t="s">
        <v>81</v>
      </c>
      <c r="F42" s="52" t="str">
        <f>'EN 02004'!B4</f>
        <v>Exhaust primary collector</v>
      </c>
      <c r="G42" s="54"/>
      <c r="H42" s="55">
        <f t="shared" si="3"/>
        <v>77.007181333333335</v>
      </c>
      <c r="I42" s="390">
        <f>'EN 02004'!N2</f>
        <v>1</v>
      </c>
      <c r="J42" s="55">
        <f>'EN 02004'!N12</f>
        <v>1.7718480000000001</v>
      </c>
      <c r="K42" s="55">
        <f>'EN 02004'!I19</f>
        <v>68.902000000000001</v>
      </c>
      <c r="L42" s="55">
        <v>0</v>
      </c>
      <c r="M42" s="55">
        <f>'EN 02004'!I23</f>
        <v>6.333333333333333</v>
      </c>
      <c r="N42" s="55">
        <f t="shared" si="2"/>
        <v>77.007181333333335</v>
      </c>
      <c r="O42" s="56"/>
    </row>
    <row r="43" spans="1:15" ht="13.8" x14ac:dyDescent="0.25">
      <c r="A43" s="51">
        <v>37</v>
      </c>
      <c r="B43" s="52" t="s">
        <v>9</v>
      </c>
      <c r="C43" s="53" t="s">
        <v>87</v>
      </c>
      <c r="D43" s="54" t="s">
        <v>36</v>
      </c>
      <c r="E43" s="54" t="s">
        <v>81</v>
      </c>
      <c r="F43" s="52" t="str">
        <f>'EN 02005'!B4</f>
        <v>Exhaust secondary collector</v>
      </c>
      <c r="G43" s="54"/>
      <c r="H43" s="55">
        <f t="shared" si="3"/>
        <v>45.102123333333331</v>
      </c>
      <c r="I43" s="390">
        <f>'EN 02005'!N2</f>
        <v>1</v>
      </c>
      <c r="J43" s="55">
        <f>'EN 02005'!N12</f>
        <v>2.5587900000000001</v>
      </c>
      <c r="K43" s="55">
        <f>'EN 02005'!I21</f>
        <v>35.879999999999995</v>
      </c>
      <c r="L43" s="55">
        <f>'EN 02005'!J26</f>
        <v>0.33</v>
      </c>
      <c r="M43" s="55">
        <f>'EN 02005'!I30</f>
        <v>6.333333333333333</v>
      </c>
      <c r="N43" s="55">
        <f t="shared" si="2"/>
        <v>45.102123333333331</v>
      </c>
      <c r="O43" s="56"/>
    </row>
    <row r="44" spans="1:15" ht="13.8" x14ac:dyDescent="0.25">
      <c r="A44" s="51">
        <v>38</v>
      </c>
      <c r="B44" s="52" t="s">
        <v>9</v>
      </c>
      <c r="C44" s="53" t="s">
        <v>88</v>
      </c>
      <c r="D44" s="54" t="s">
        <v>36</v>
      </c>
      <c r="E44" s="54" t="s">
        <v>81</v>
      </c>
      <c r="F44" s="52" t="str">
        <f>'EN 02006'!B4</f>
        <v>Muffler</v>
      </c>
      <c r="G44" s="54"/>
      <c r="H44" s="55">
        <f t="shared" si="3"/>
        <v>41.004999999999995</v>
      </c>
      <c r="I44" s="390">
        <f>'EN 02006'!N2</f>
        <v>1</v>
      </c>
      <c r="J44" s="55">
        <f>'EN 02006'!N13</f>
        <v>24.125</v>
      </c>
      <c r="K44" s="55">
        <f>'EN 02006'!I22</f>
        <v>16.52</v>
      </c>
      <c r="L44" s="55">
        <f>'EN 02006'!J26</f>
        <v>0.36</v>
      </c>
      <c r="M44" s="55">
        <v>0</v>
      </c>
      <c r="N44" s="55">
        <f t="shared" si="2"/>
        <v>41.004999999999995</v>
      </c>
      <c r="O44" s="56"/>
    </row>
    <row r="45" spans="1:15" ht="13.8" x14ac:dyDescent="0.25">
      <c r="A45" s="51">
        <v>39</v>
      </c>
      <c r="B45" s="52" t="s">
        <v>9</v>
      </c>
      <c r="C45" s="53" t="s">
        <v>90</v>
      </c>
      <c r="D45" s="54" t="s">
        <v>36</v>
      </c>
      <c r="E45" s="54" t="s">
        <v>81</v>
      </c>
      <c r="F45" s="52" t="str">
        <f>'EN 02007'!B4</f>
        <v>Muffler collar</v>
      </c>
      <c r="G45" s="54"/>
      <c r="H45" s="55">
        <f t="shared" si="3"/>
        <v>10.655999999999999</v>
      </c>
      <c r="I45" s="390">
        <f>'EN 02007'!N2</f>
        <v>1</v>
      </c>
      <c r="J45" s="55">
        <f>'EN 02007'!N11</f>
        <v>10</v>
      </c>
      <c r="K45" s="55">
        <f>'EN 02007'!I16</f>
        <v>0.61599999999999999</v>
      </c>
      <c r="L45" s="55">
        <v>0</v>
      </c>
      <c r="M45" s="55">
        <f>'EN 02007'!I20</f>
        <v>0.04</v>
      </c>
      <c r="N45" s="55">
        <f t="shared" si="2"/>
        <v>10.655999999999999</v>
      </c>
      <c r="O45" s="56"/>
    </row>
    <row r="46" spans="1:15" ht="13.8" x14ac:dyDescent="0.25">
      <c r="A46" s="51">
        <v>40</v>
      </c>
      <c r="B46" s="52" t="s">
        <v>9</v>
      </c>
      <c r="C46" s="53" t="s">
        <v>91</v>
      </c>
      <c r="D46" s="54" t="s">
        <v>36</v>
      </c>
      <c r="E46" s="54" t="s">
        <v>81</v>
      </c>
      <c r="F46" s="52" t="str">
        <f>'EN 02008'!B4</f>
        <v>Spacer</v>
      </c>
      <c r="G46" s="54"/>
      <c r="H46" s="55">
        <f t="shared" si="3"/>
        <v>1.4572121721330547</v>
      </c>
      <c r="I46" s="390">
        <f>'EN 02008'!N2</f>
        <v>1</v>
      </c>
      <c r="J46" s="55">
        <f>'EN 02008'!N11</f>
        <v>5.7212172133054455E-2</v>
      </c>
      <c r="K46" s="55">
        <f>'EN 02008'!I16</f>
        <v>1.4000000000000001</v>
      </c>
      <c r="L46" s="55">
        <v>0</v>
      </c>
      <c r="M46" s="55">
        <v>0</v>
      </c>
      <c r="N46" s="55">
        <f t="shared" si="2"/>
        <v>1.4572121721330547</v>
      </c>
      <c r="O46" s="56"/>
    </row>
    <row r="47" spans="1:15" ht="13.8" x14ac:dyDescent="0.25">
      <c r="A47" s="51">
        <v>41</v>
      </c>
      <c r="B47" s="52" t="s">
        <v>9</v>
      </c>
      <c r="C47" s="53" t="s">
        <v>92</v>
      </c>
      <c r="D47" s="54" t="s">
        <v>36</v>
      </c>
      <c r="E47" s="54" t="s">
        <v>81</v>
      </c>
      <c r="F47" s="52" t="str">
        <f>'EN 02009'!B4</f>
        <v>Muffler mount</v>
      </c>
      <c r="G47" s="54"/>
      <c r="H47" s="55">
        <f t="shared" si="3"/>
        <v>3.8607300000000002</v>
      </c>
      <c r="I47" s="390">
        <f>'EN 02009'!N2</f>
        <v>1</v>
      </c>
      <c r="J47" s="55">
        <f>'EN 02009'!N11</f>
        <v>0.17073000000000005</v>
      </c>
      <c r="K47" s="55">
        <f>'EN 02009'!I21</f>
        <v>3.6900000000000004</v>
      </c>
      <c r="L47" s="55">
        <v>0</v>
      </c>
      <c r="M47" s="55">
        <v>0</v>
      </c>
      <c r="N47" s="55">
        <f t="shared" si="2"/>
        <v>3.8607300000000002</v>
      </c>
      <c r="O47" s="56"/>
    </row>
    <row r="48" spans="1:15" ht="13.8" x14ac:dyDescent="0.25">
      <c r="A48" s="60">
        <v>42</v>
      </c>
      <c r="B48" s="44" t="s">
        <v>9</v>
      </c>
      <c r="C48" s="45" t="s">
        <v>93</v>
      </c>
      <c r="D48" s="45" t="s">
        <v>36</v>
      </c>
      <c r="E48" s="45"/>
      <c r="F48" s="44" t="s">
        <v>94</v>
      </c>
      <c r="G48" s="45"/>
      <c r="H48" s="46">
        <f t="shared" si="3"/>
        <v>53.00333333333333</v>
      </c>
      <c r="I48" s="960">
        <f>'EN A0003'!N2</f>
        <v>1</v>
      </c>
      <c r="J48" s="46">
        <f>'EN A0003'!N22</f>
        <v>6.6</v>
      </c>
      <c r="K48" s="46">
        <f>'EN A0003'!I43</f>
        <v>8.7200000000000006</v>
      </c>
      <c r="L48" s="46">
        <f>'EN A0003'!J52</f>
        <v>35.349999999999994</v>
      </c>
      <c r="M48" s="46">
        <f>'EN A0003'!I56</f>
        <v>2.3333333333333335</v>
      </c>
      <c r="N48" s="46">
        <f t="shared" si="2"/>
        <v>53.00333333333333</v>
      </c>
      <c r="O48" s="50"/>
    </row>
    <row r="49" spans="1:15" ht="13.8" x14ac:dyDescent="0.25">
      <c r="A49" s="51">
        <v>43</v>
      </c>
      <c r="B49" s="52" t="s">
        <v>9</v>
      </c>
      <c r="C49" s="53" t="s">
        <v>95</v>
      </c>
      <c r="D49" s="54" t="s">
        <v>36</v>
      </c>
      <c r="E49" s="54" t="s">
        <v>96</v>
      </c>
      <c r="F49" s="52" t="str">
        <f>'EN 03001'!B4</f>
        <v>Fuel tank</v>
      </c>
      <c r="G49" s="54"/>
      <c r="H49" s="55">
        <f t="shared" si="3"/>
        <v>70.173858333333342</v>
      </c>
      <c r="I49" s="390">
        <f>'EN 03001'!N2</f>
        <v>1</v>
      </c>
      <c r="J49" s="55">
        <f>'EN 03001'!N14</f>
        <v>19.613025</v>
      </c>
      <c r="K49" s="55">
        <f>'EN 03001'!I31</f>
        <v>45.167500000000018</v>
      </c>
      <c r="L49" s="55">
        <f>'EN 03001'!J35</f>
        <v>0.06</v>
      </c>
      <c r="M49" s="55">
        <f>'EN 03001'!I39</f>
        <v>5.333333333333333</v>
      </c>
      <c r="N49" s="55">
        <f t="shared" si="2"/>
        <v>70.173858333333342</v>
      </c>
      <c r="O49" s="56"/>
    </row>
    <row r="50" spans="1:15" ht="13.8" x14ac:dyDescent="0.25">
      <c r="A50" s="51">
        <v>44</v>
      </c>
      <c r="B50" s="52" t="s">
        <v>9</v>
      </c>
      <c r="C50" s="61" t="s">
        <v>97</v>
      </c>
      <c r="D50" s="54" t="s">
        <v>36</v>
      </c>
      <c r="E50" s="54" t="s">
        <v>96</v>
      </c>
      <c r="F50" s="52" t="str">
        <f>'EN 03002'!B4</f>
        <v>Filler neck</v>
      </c>
      <c r="G50" s="54"/>
      <c r="H50" s="55">
        <f t="shared" si="3"/>
        <v>15.366058246666665</v>
      </c>
      <c r="I50" s="390">
        <f>'EN 03002'!N2</f>
        <v>1</v>
      </c>
      <c r="J50" s="55">
        <f>'EN 03002'!N13</f>
        <v>8.4093915799999994</v>
      </c>
      <c r="K50" s="55">
        <f>'EN 03002'!I23</f>
        <v>5.19</v>
      </c>
      <c r="L50" s="55">
        <f>'EN 03002'!J27</f>
        <v>1.1000000000000001</v>
      </c>
      <c r="M50" s="55">
        <f>'EN 03002'!I31</f>
        <v>0.66666666666666663</v>
      </c>
      <c r="N50" s="55">
        <f t="shared" si="2"/>
        <v>15.366058246666665</v>
      </c>
      <c r="O50" s="56"/>
    </row>
    <row r="51" spans="1:15" ht="13.8" x14ac:dyDescent="0.25">
      <c r="A51" s="51">
        <v>45</v>
      </c>
      <c r="B51" s="52" t="s">
        <v>9</v>
      </c>
      <c r="C51" s="53" t="s">
        <v>99</v>
      </c>
      <c r="D51" s="54" t="s">
        <v>36</v>
      </c>
      <c r="E51" s="54" t="s">
        <v>96</v>
      </c>
      <c r="F51" s="52" t="str">
        <f>'EN 03003'!B4</f>
        <v>Filler neck cap</v>
      </c>
      <c r="G51" s="54"/>
      <c r="H51" s="55">
        <f t="shared" si="3"/>
        <v>11.845227571092115</v>
      </c>
      <c r="I51" s="390">
        <f>'EN 03003'!N2</f>
        <v>1</v>
      </c>
      <c r="J51" s="55">
        <f>'EN 03003'!N12</f>
        <v>8.3352275710921155</v>
      </c>
      <c r="K51" s="55">
        <f>'EN 03003'!I20</f>
        <v>3.5100000000000002</v>
      </c>
      <c r="L51" s="55">
        <v>0</v>
      </c>
      <c r="M51" s="55">
        <v>0</v>
      </c>
      <c r="N51" s="55">
        <f t="shared" si="2"/>
        <v>11.845227571092115</v>
      </c>
      <c r="O51" s="56"/>
    </row>
    <row r="52" spans="1:15" ht="13.8" x14ac:dyDescent="0.25">
      <c r="A52" s="51">
        <v>46</v>
      </c>
      <c r="B52" s="52" t="s">
        <v>9</v>
      </c>
      <c r="C52" s="53" t="s">
        <v>101</v>
      </c>
      <c r="D52" s="54" t="s">
        <v>36</v>
      </c>
      <c r="E52" s="54" t="s">
        <v>96</v>
      </c>
      <c r="F52" s="52" t="str">
        <f>'EN 03004'!B4</f>
        <v>Rear tab</v>
      </c>
      <c r="G52" s="54"/>
      <c r="H52" s="55">
        <f t="shared" si="3"/>
        <v>1.0023919999999999</v>
      </c>
      <c r="I52" s="390">
        <f>'EN 03004'!N2</f>
        <v>2</v>
      </c>
      <c r="J52" s="55">
        <f>'EN 03004'!N11</f>
        <v>6.7392000000000007E-2</v>
      </c>
      <c r="K52" s="55">
        <f>'EN 03004'!I16</f>
        <v>0.93500000000000005</v>
      </c>
      <c r="L52" s="55">
        <v>0</v>
      </c>
      <c r="M52" s="55">
        <v>0</v>
      </c>
      <c r="N52" s="55">
        <f t="shared" si="2"/>
        <v>2.0047839999999999</v>
      </c>
      <c r="O52" s="56"/>
    </row>
    <row r="53" spans="1:15" ht="13.8" x14ac:dyDescent="0.25">
      <c r="A53" s="51">
        <v>47</v>
      </c>
      <c r="B53" s="52" t="s">
        <v>9</v>
      </c>
      <c r="C53" s="53" t="s">
        <v>103</v>
      </c>
      <c r="D53" s="54" t="s">
        <v>36</v>
      </c>
      <c r="E53" s="54" t="s">
        <v>96</v>
      </c>
      <c r="F53" s="52" t="str">
        <f>'EN 03005'!B4</f>
        <v>Front tab</v>
      </c>
      <c r="G53" s="54"/>
      <c r="H53" s="55">
        <f t="shared" si="3"/>
        <v>3.5963104000000001</v>
      </c>
      <c r="I53" s="390">
        <f>'EN 03005'!N2</f>
        <v>1</v>
      </c>
      <c r="J53" s="55">
        <f>'EN 03005'!N11</f>
        <v>0.58631040000000001</v>
      </c>
      <c r="K53" s="55">
        <f>'EN 03005'!I16</f>
        <v>3.0100000000000002</v>
      </c>
      <c r="L53" s="55">
        <v>0</v>
      </c>
      <c r="M53" s="55">
        <v>0</v>
      </c>
      <c r="N53" s="55">
        <f t="shared" si="2"/>
        <v>3.5963104000000001</v>
      </c>
      <c r="O53" s="56"/>
    </row>
    <row r="54" spans="1:15" ht="13.8" x14ac:dyDescent="0.25">
      <c r="A54" s="51">
        <v>48</v>
      </c>
      <c r="B54" s="52" t="s">
        <v>9</v>
      </c>
      <c r="C54" s="53" t="s">
        <v>105</v>
      </c>
      <c r="D54" s="54" t="s">
        <v>36</v>
      </c>
      <c r="E54" s="54" t="s">
        <v>96</v>
      </c>
      <c r="F54" s="62" t="str">
        <f>'EN 03006'!B4</f>
        <v>Filler neck mount</v>
      </c>
      <c r="G54" s="54"/>
      <c r="H54" s="55">
        <f t="shared" si="3"/>
        <v>3.9607300000000003</v>
      </c>
      <c r="I54" s="390">
        <f>'EN 03006'!N2</f>
        <v>1</v>
      </c>
      <c r="J54" s="55">
        <f>'EN 03006'!N11</f>
        <v>0.17073000000000005</v>
      </c>
      <c r="K54" s="55">
        <f>'EN 03006'!I21</f>
        <v>3.6900000000000004</v>
      </c>
      <c r="L54" s="55">
        <f>'EN 03006'!J26</f>
        <v>0.1</v>
      </c>
      <c r="M54" s="55">
        <v>0</v>
      </c>
      <c r="N54" s="55">
        <f t="shared" si="2"/>
        <v>3.9607300000000003</v>
      </c>
      <c r="O54" s="56"/>
    </row>
    <row r="55" spans="1:15" ht="13.8" x14ac:dyDescent="0.25">
      <c r="A55" s="51">
        <v>49</v>
      </c>
      <c r="B55" s="52" t="s">
        <v>9</v>
      </c>
      <c r="C55" s="53" t="s">
        <v>107</v>
      </c>
      <c r="D55" s="54" t="s">
        <v>36</v>
      </c>
      <c r="E55" s="54" t="s">
        <v>96</v>
      </c>
      <c r="F55" s="52" t="str">
        <f>'EN 03007'!B4</f>
        <v>Filler neck collar</v>
      </c>
      <c r="G55" s="54"/>
      <c r="H55" s="55">
        <f t="shared" si="3"/>
        <v>2.25882878</v>
      </c>
      <c r="I55" s="390">
        <f>'EN 03007'!N2</f>
        <v>1</v>
      </c>
      <c r="J55" s="55">
        <f>'EN 03007'!N11</f>
        <v>4.8828780000000009E-2</v>
      </c>
      <c r="K55" s="55">
        <f>'EN 03007'!I17</f>
        <v>2.21</v>
      </c>
      <c r="L55" s="55">
        <v>0</v>
      </c>
      <c r="M55" s="55">
        <v>0</v>
      </c>
      <c r="N55" s="55">
        <f t="shared" si="2"/>
        <v>2.25882878</v>
      </c>
      <c r="O55" s="56"/>
    </row>
    <row r="56" spans="1:15" ht="13.8" x14ac:dyDescent="0.25">
      <c r="A56" s="51">
        <v>50</v>
      </c>
      <c r="B56" s="52" t="s">
        <v>9</v>
      </c>
      <c r="C56" s="53" t="s">
        <v>925</v>
      </c>
      <c r="D56" s="54" t="s">
        <v>36</v>
      </c>
      <c r="E56" s="54" t="s">
        <v>96</v>
      </c>
      <c r="F56" s="52" t="str">
        <f>'EN 03008'!B4</f>
        <v>Fuel tank heat shield</v>
      </c>
      <c r="G56" s="54"/>
      <c r="H56" s="55">
        <f>SUM(J56:M56)</f>
        <v>3.9146000000000001</v>
      </c>
      <c r="I56" s="390">
        <f>'EN 03008'!N2</f>
        <v>1</v>
      </c>
      <c r="J56" s="383">
        <f>'EN 03008'!N11</f>
        <v>3.4146000000000001</v>
      </c>
      <c r="K56" s="55">
        <f>'EN 03008'!I15</f>
        <v>0.5</v>
      </c>
      <c r="L56" s="55">
        <v>0</v>
      </c>
      <c r="M56" s="55">
        <v>0</v>
      </c>
      <c r="N56" s="55">
        <f t="shared" si="2"/>
        <v>3.9146000000000001</v>
      </c>
      <c r="O56" s="56"/>
    </row>
    <row r="57" spans="1:15" ht="13.8" x14ac:dyDescent="0.25">
      <c r="A57" s="43">
        <v>51</v>
      </c>
      <c r="B57" s="44" t="s">
        <v>9</v>
      </c>
      <c r="C57" s="45" t="s">
        <v>109</v>
      </c>
      <c r="D57" s="45" t="s">
        <v>36</v>
      </c>
      <c r="E57" s="45"/>
      <c r="F57" s="44" t="s">
        <v>110</v>
      </c>
      <c r="G57" s="45"/>
      <c r="H57" s="46">
        <f t="shared" si="3"/>
        <v>389.50333333333322</v>
      </c>
      <c r="I57" s="960">
        <f>'EN A0004'!N2</f>
        <v>1</v>
      </c>
      <c r="J57" s="46">
        <f>'EN A0004'!N31</f>
        <v>363.09999999999991</v>
      </c>
      <c r="K57" s="46">
        <f>'EN A0004'!I51</f>
        <v>24.39</v>
      </c>
      <c r="L57" s="46">
        <f>'EN A0004'!J63</f>
        <v>0.68</v>
      </c>
      <c r="M57" s="46">
        <f>'EN A0004'!I67</f>
        <v>1.3333333333333333</v>
      </c>
      <c r="N57" s="391">
        <f t="shared" si="2"/>
        <v>389.50333333333322</v>
      </c>
      <c r="O57" s="50"/>
    </row>
    <row r="58" spans="1:15" ht="13.8" x14ac:dyDescent="0.25">
      <c r="A58" s="51">
        <v>52</v>
      </c>
      <c r="B58" s="52" t="s">
        <v>9</v>
      </c>
      <c r="C58" s="63" t="s">
        <v>111</v>
      </c>
      <c r="D58" s="54" t="s">
        <v>36</v>
      </c>
      <c r="E58" s="52" t="s">
        <v>110</v>
      </c>
      <c r="F58" s="52" t="str">
        <f>'EN 04001'!B4</f>
        <v>Primary fuel rail</v>
      </c>
      <c r="G58" s="54"/>
      <c r="H58" s="383">
        <f t="shared" si="3"/>
        <v>12.164163333333331</v>
      </c>
      <c r="I58" s="392">
        <f>'EN 04001'!N2</f>
        <v>1</v>
      </c>
      <c r="J58" s="383">
        <f>'EN 04001'!N12</f>
        <v>0.74762999999999991</v>
      </c>
      <c r="K58" s="383">
        <f>'EN 04001'!I23</f>
        <v>9.0831999999999979</v>
      </c>
      <c r="L58" s="383">
        <v>0</v>
      </c>
      <c r="M58" s="383">
        <f>'EN 04001'!I27</f>
        <v>2.3333333333333335</v>
      </c>
      <c r="N58" s="383">
        <f t="shared" si="2"/>
        <v>12.164163333333331</v>
      </c>
      <c r="O58" s="393"/>
    </row>
    <row r="59" spans="1:15" ht="13.8" x14ac:dyDescent="0.25">
      <c r="A59" s="51">
        <v>53</v>
      </c>
      <c r="B59" s="52" t="s">
        <v>9</v>
      </c>
      <c r="C59" s="63" t="s">
        <v>113</v>
      </c>
      <c r="D59" s="54" t="s">
        <v>36</v>
      </c>
      <c r="E59" s="52" t="s">
        <v>110</v>
      </c>
      <c r="F59" s="52" t="str">
        <f>'EN 04002'!B4</f>
        <v>Fuel pump tab</v>
      </c>
      <c r="G59" s="54"/>
      <c r="H59" s="383">
        <f t="shared" si="3"/>
        <v>1.0706528</v>
      </c>
      <c r="I59" s="392">
        <f>'EN 04002'!N2</f>
        <v>2</v>
      </c>
      <c r="J59" s="383">
        <f>'EN 04002'!N11</f>
        <v>6.06528E-2</v>
      </c>
      <c r="K59" s="383">
        <f>'EN 04002'!I16</f>
        <v>1.01</v>
      </c>
      <c r="L59" s="383">
        <v>0</v>
      </c>
      <c r="M59" s="383">
        <v>0</v>
      </c>
      <c r="N59" s="383">
        <f t="shared" si="2"/>
        <v>2.1413055999999999</v>
      </c>
      <c r="O59" s="393"/>
    </row>
    <row r="60" spans="1:15" ht="13.8" x14ac:dyDescent="0.25">
      <c r="A60" s="51">
        <v>54</v>
      </c>
      <c r="B60" s="52" t="s">
        <v>9</v>
      </c>
      <c r="C60" s="63" t="s">
        <v>114</v>
      </c>
      <c r="D60" s="54" t="s">
        <v>36</v>
      </c>
      <c r="E60" s="52" t="s">
        <v>110</v>
      </c>
      <c r="F60" s="52" t="str">
        <f>'EN 04003'!B4</f>
        <v>Fuel pressure regulator tab</v>
      </c>
      <c r="G60" s="54"/>
      <c r="H60" s="383">
        <f t="shared" si="3"/>
        <v>1.8932818</v>
      </c>
      <c r="I60" s="392">
        <f>'EN 04003'!N2</f>
        <v>1</v>
      </c>
      <c r="J60" s="383">
        <f>'EN 04003'!N11</f>
        <v>5.3281800000000011E-2</v>
      </c>
      <c r="K60" s="383">
        <f>'EN 04003'!I16</f>
        <v>1.84</v>
      </c>
      <c r="L60" s="383">
        <v>0</v>
      </c>
      <c r="M60" s="383">
        <v>0</v>
      </c>
      <c r="N60" s="383">
        <f t="shared" si="2"/>
        <v>1.8932818</v>
      </c>
      <c r="O60" s="393"/>
    </row>
    <row r="61" spans="1:15" ht="13.8" x14ac:dyDescent="0.25">
      <c r="A61" s="51">
        <v>55</v>
      </c>
      <c r="B61" s="52" t="s">
        <v>9</v>
      </c>
      <c r="C61" s="63" t="s">
        <v>115</v>
      </c>
      <c r="D61" s="54" t="s">
        <v>36</v>
      </c>
      <c r="E61" s="52" t="s">
        <v>110</v>
      </c>
      <c r="F61" s="52" t="str">
        <f>'EN 04004'!B4</f>
        <v>Fuel pump left mount</v>
      </c>
      <c r="G61" s="59"/>
      <c r="H61" s="383">
        <f t="shared" si="3"/>
        <v>1.853241344</v>
      </c>
      <c r="I61" s="392">
        <f>'EN 04004'!N2</f>
        <v>1</v>
      </c>
      <c r="J61" s="383">
        <f>'EN 04004'!N11</f>
        <v>9.324134399999999E-2</v>
      </c>
      <c r="K61" s="383">
        <f>'EN 04004'!I16</f>
        <v>1.76</v>
      </c>
      <c r="L61" s="383">
        <v>0</v>
      </c>
      <c r="M61" s="383">
        <v>0</v>
      </c>
      <c r="N61" s="383">
        <f t="shared" si="2"/>
        <v>1.853241344</v>
      </c>
      <c r="O61" s="393"/>
    </row>
    <row r="62" spans="1:15" ht="13.8" x14ac:dyDescent="0.25">
      <c r="A62" s="51">
        <v>56</v>
      </c>
      <c r="B62" s="52" t="s">
        <v>9</v>
      </c>
      <c r="C62" s="63" t="s">
        <v>116</v>
      </c>
      <c r="D62" s="54" t="s">
        <v>36</v>
      </c>
      <c r="E62" s="52" t="s">
        <v>110</v>
      </c>
      <c r="F62" s="52" t="str">
        <f>'EN 04005'!B4</f>
        <v>Fuel pump right mount</v>
      </c>
      <c r="G62" s="54"/>
      <c r="H62" s="383">
        <f t="shared" si="3"/>
        <v>2.9358878720000003</v>
      </c>
      <c r="I62" s="392">
        <f>'EN 04005'!N2</f>
        <v>1</v>
      </c>
      <c r="J62" s="383">
        <f>'EN 04005'!N11</f>
        <v>0.15588787200000001</v>
      </c>
      <c r="K62" s="383">
        <f>'EN 04005'!I17</f>
        <v>2.7800000000000002</v>
      </c>
      <c r="L62" s="383">
        <v>0</v>
      </c>
      <c r="M62" s="383">
        <v>0</v>
      </c>
      <c r="N62" s="383">
        <f t="shared" si="2"/>
        <v>2.9358878720000003</v>
      </c>
      <c r="O62" s="393"/>
    </row>
    <row r="63" spans="1:15" ht="13.8" x14ac:dyDescent="0.25">
      <c r="A63" s="43">
        <v>57</v>
      </c>
      <c r="B63" s="44" t="s">
        <v>9</v>
      </c>
      <c r="C63" s="45" t="s">
        <v>117</v>
      </c>
      <c r="D63" s="45" t="s">
        <v>36</v>
      </c>
      <c r="E63" s="45"/>
      <c r="F63" s="44" t="s">
        <v>118</v>
      </c>
      <c r="G63" s="45"/>
      <c r="H63" s="46">
        <f t="shared" si="3"/>
        <v>86.846666666666664</v>
      </c>
      <c r="I63" s="960">
        <f>'EN A0005'!N2</f>
        <v>1</v>
      </c>
      <c r="J63" s="46">
        <f>'EN A0005'!N23</f>
        <v>1.44</v>
      </c>
      <c r="K63" s="46">
        <f>'EN A0005'!I43</f>
        <v>71.259999999999991</v>
      </c>
      <c r="L63" s="46">
        <f>'EN A0005'!J53</f>
        <v>8.48</v>
      </c>
      <c r="M63" s="46">
        <f>'EN A0005'!I57</f>
        <v>5.666666666666667</v>
      </c>
      <c r="N63" s="46">
        <f t="shared" si="2"/>
        <v>86.846666666666664</v>
      </c>
      <c r="O63" s="50"/>
    </row>
    <row r="64" spans="1:15" ht="13.8" x14ac:dyDescent="0.25">
      <c r="A64" s="51">
        <v>58</v>
      </c>
      <c r="B64" s="52" t="s">
        <v>9</v>
      </c>
      <c r="C64" s="63" t="s">
        <v>119</v>
      </c>
      <c r="D64" s="54" t="s">
        <v>36</v>
      </c>
      <c r="E64" s="54" t="s">
        <v>118</v>
      </c>
      <c r="F64" s="52" t="str">
        <f>'EN 05001'!B4</f>
        <v>Upper plenum</v>
      </c>
      <c r="G64" s="54"/>
      <c r="H64" s="55">
        <f t="shared" si="3"/>
        <v>47.223333333333336</v>
      </c>
      <c r="I64" s="390">
        <f>'EN 05001'!N2</f>
        <v>1</v>
      </c>
      <c r="J64" s="55">
        <f>'EN 05001'!N13</f>
        <v>20</v>
      </c>
      <c r="K64" s="55">
        <f>'EN 05001'!I25</f>
        <v>26.770000000000003</v>
      </c>
      <c r="L64" s="55">
        <v>0</v>
      </c>
      <c r="M64" s="55">
        <f>'EN 05001'!I30</f>
        <v>0.45333333333333331</v>
      </c>
      <c r="N64" s="55">
        <f t="shared" si="2"/>
        <v>47.223333333333336</v>
      </c>
      <c r="O64" s="56"/>
    </row>
    <row r="65" spans="1:15" ht="13.8" x14ac:dyDescent="0.25">
      <c r="A65" s="51">
        <v>59</v>
      </c>
      <c r="B65" s="52" t="s">
        <v>9</v>
      </c>
      <c r="C65" s="63" t="s">
        <v>120</v>
      </c>
      <c r="D65" s="54" t="s">
        <v>36</v>
      </c>
      <c r="E65" s="54" t="s">
        <v>118</v>
      </c>
      <c r="F65" s="52" t="str">
        <f>'EN 05002'!B4</f>
        <v>Bottom plenum ring</v>
      </c>
      <c r="G65" s="54"/>
      <c r="H65" s="55">
        <f t="shared" si="3"/>
        <v>5.4298640000000002</v>
      </c>
      <c r="I65" s="390">
        <f>'EN 05002'!N2</f>
        <v>1</v>
      </c>
      <c r="J65" s="55">
        <f>'EN 05002'!N11</f>
        <v>1.8098640000000001</v>
      </c>
      <c r="K65" s="55">
        <f>'EN 05002'!I16</f>
        <v>3.62</v>
      </c>
      <c r="L65" s="55">
        <v>0</v>
      </c>
      <c r="M65" s="55">
        <v>0</v>
      </c>
      <c r="N65" s="55">
        <f t="shared" si="2"/>
        <v>5.4298640000000002</v>
      </c>
      <c r="O65" s="56"/>
    </row>
    <row r="66" spans="1:15" ht="13.8" x14ac:dyDescent="0.25">
      <c r="A66" s="51">
        <v>60</v>
      </c>
      <c r="B66" s="52" t="s">
        <v>9</v>
      </c>
      <c r="C66" s="63" t="s">
        <v>121</v>
      </c>
      <c r="D66" s="54" t="s">
        <v>36</v>
      </c>
      <c r="E66" s="58" t="s">
        <v>118</v>
      </c>
      <c r="F66" s="52" t="str">
        <f>'EN 05003'!B4</f>
        <v>Bottom plenum shape</v>
      </c>
      <c r="G66" s="59"/>
      <c r="H66" s="55">
        <f t="shared" si="3"/>
        <v>4.5381733333333329</v>
      </c>
      <c r="I66" s="390">
        <f>'EN 05003'!N2</f>
        <v>1</v>
      </c>
      <c r="J66" s="55">
        <f>'EN 05003'!N11</f>
        <v>0.29483999999999999</v>
      </c>
      <c r="K66" s="55">
        <f>'EN 05003'!I18</f>
        <v>3.91</v>
      </c>
      <c r="L66" s="55">
        <v>0</v>
      </c>
      <c r="M66" s="55">
        <f>'EN 05003'!I23</f>
        <v>0.33333333333333331</v>
      </c>
      <c r="N66" s="55">
        <f t="shared" si="2"/>
        <v>4.5381733333333329</v>
      </c>
      <c r="O66" s="56"/>
    </row>
    <row r="67" spans="1:15" ht="13.8" x14ac:dyDescent="0.25">
      <c r="A67" s="51">
        <v>61</v>
      </c>
      <c r="B67" s="52" t="s">
        <v>9</v>
      </c>
      <c r="C67" s="63" t="s">
        <v>122</v>
      </c>
      <c r="D67" s="54" t="s">
        <v>36</v>
      </c>
      <c r="E67" s="54" t="s">
        <v>118</v>
      </c>
      <c r="F67" s="52" t="str">
        <f>'EN 05004'!B4</f>
        <v>Bottom plenum plate</v>
      </c>
      <c r="G67" s="54"/>
      <c r="H67" s="55">
        <f t="shared" si="3"/>
        <v>3.542268</v>
      </c>
      <c r="I67" s="390">
        <f>'EN 05004'!N2</f>
        <v>1</v>
      </c>
      <c r="J67" s="55">
        <f>'EN 05004'!N11</f>
        <v>0.84226800000000002</v>
      </c>
      <c r="K67" s="55">
        <f>'EN 05004'!I16</f>
        <v>2.7</v>
      </c>
      <c r="L67" s="55">
        <v>0</v>
      </c>
      <c r="M67" s="55">
        <v>0</v>
      </c>
      <c r="N67" s="55">
        <f t="shared" si="2"/>
        <v>3.542268</v>
      </c>
      <c r="O67" s="56"/>
    </row>
    <row r="68" spans="1:15" ht="13.8" x14ac:dyDescent="0.25">
      <c r="A68" s="51">
        <v>62</v>
      </c>
      <c r="B68" s="52" t="s">
        <v>9</v>
      </c>
      <c r="C68" s="63" t="s">
        <v>123</v>
      </c>
      <c r="D68" s="54" t="s">
        <v>36</v>
      </c>
      <c r="E68" s="54" t="s">
        <v>118</v>
      </c>
      <c r="F68" s="52" t="str">
        <f>'EN 05005'!B4</f>
        <v>Inlet pipe</v>
      </c>
      <c r="G68" s="54"/>
      <c r="H68" s="55">
        <f t="shared" si="3"/>
        <v>2.0561307599999998</v>
      </c>
      <c r="I68" s="390">
        <f>'EN 05005'!N2</f>
        <v>4</v>
      </c>
      <c r="J68" s="55">
        <f>'EN 05005'!N11</f>
        <v>0.40613076000000004</v>
      </c>
      <c r="K68" s="55">
        <f>'EN 05005'!I16</f>
        <v>1.65</v>
      </c>
      <c r="L68" s="55">
        <v>0</v>
      </c>
      <c r="M68" s="55">
        <v>0</v>
      </c>
      <c r="N68" s="55">
        <f t="shared" si="2"/>
        <v>8.2245230399999993</v>
      </c>
      <c r="O68" s="56"/>
    </row>
    <row r="69" spans="1:15" ht="13.8" x14ac:dyDescent="0.25">
      <c r="A69" s="51">
        <v>63</v>
      </c>
      <c r="B69" s="52" t="s">
        <v>9</v>
      </c>
      <c r="C69" s="63" t="s">
        <v>124</v>
      </c>
      <c r="D69" s="54" t="s">
        <v>36</v>
      </c>
      <c r="E69" s="54" t="s">
        <v>118</v>
      </c>
      <c r="F69" s="52" t="str">
        <f>'EN 05006'!B4</f>
        <v>Pipe end</v>
      </c>
      <c r="G69" s="54"/>
      <c r="H69" s="55">
        <f t="shared" si="3"/>
        <v>6.6669833812500006</v>
      </c>
      <c r="I69" s="390">
        <f>'EN 05006'!N2</f>
        <v>4</v>
      </c>
      <c r="J69" s="55">
        <f>'EN 05006'!N11</f>
        <v>1.3569833812500005</v>
      </c>
      <c r="K69" s="55">
        <f>'EN 05006'!I18</f>
        <v>5.3100000000000005</v>
      </c>
      <c r="L69" s="55">
        <v>0</v>
      </c>
      <c r="M69" s="55">
        <v>0</v>
      </c>
      <c r="N69" s="55">
        <f t="shared" si="2"/>
        <v>26.667933525000002</v>
      </c>
      <c r="O69" s="56"/>
    </row>
    <row r="70" spans="1:15" ht="13.8" x14ac:dyDescent="0.25">
      <c r="A70" s="51">
        <v>64</v>
      </c>
      <c r="B70" s="52" t="s">
        <v>9</v>
      </c>
      <c r="C70" s="63" t="s">
        <v>125</v>
      </c>
      <c r="D70" s="54" t="s">
        <v>36</v>
      </c>
      <c r="E70" s="54" t="s">
        <v>118</v>
      </c>
      <c r="F70" s="52" t="str">
        <f>'EN 05007'!B4</f>
        <v>Injector housing</v>
      </c>
      <c r="G70" s="54"/>
      <c r="H70" s="55">
        <f t="shared" si="3"/>
        <v>2.6292146875000002</v>
      </c>
      <c r="I70" s="390">
        <f>'EN 05007'!N2</f>
        <v>4</v>
      </c>
      <c r="J70" s="55">
        <f>'EN 05007'!N11</f>
        <v>0.2792146875</v>
      </c>
      <c r="K70" s="55">
        <f>'EN 05007'!I18</f>
        <v>2.35</v>
      </c>
      <c r="L70" s="55">
        <v>0</v>
      </c>
      <c r="M70" s="55">
        <v>0</v>
      </c>
      <c r="N70" s="55">
        <f t="shared" si="2"/>
        <v>10.516858750000001</v>
      </c>
      <c r="O70" s="56"/>
    </row>
    <row r="71" spans="1:15" ht="13.8" x14ac:dyDescent="0.25">
      <c r="A71" s="51">
        <v>65</v>
      </c>
      <c r="B71" s="52" t="s">
        <v>9</v>
      </c>
      <c r="C71" s="63" t="s">
        <v>126</v>
      </c>
      <c r="D71" s="54" t="s">
        <v>36</v>
      </c>
      <c r="E71" s="54" t="s">
        <v>118</v>
      </c>
      <c r="F71" s="52" t="str">
        <f>'EN 05008'!B4</f>
        <v>Fuel rail tab</v>
      </c>
      <c r="G71" s="54"/>
      <c r="H71" s="55">
        <f t="shared" si="3"/>
        <v>2.257314</v>
      </c>
      <c r="I71" s="390">
        <f>'EN 05008'!N2</f>
        <v>1</v>
      </c>
      <c r="J71" s="55">
        <f>'EN 05008'!N11</f>
        <v>0.30731400000000003</v>
      </c>
      <c r="K71" s="55">
        <f>'EN 05008'!I16</f>
        <v>1.9500000000000002</v>
      </c>
      <c r="L71" s="55">
        <v>0</v>
      </c>
      <c r="M71" s="55">
        <v>0</v>
      </c>
      <c r="N71" s="55">
        <f t="shared" si="2"/>
        <v>2.257314</v>
      </c>
      <c r="O71" s="56"/>
    </row>
    <row r="72" spans="1:15" ht="13.8" x14ac:dyDescent="0.25">
      <c r="A72" s="51">
        <v>66</v>
      </c>
      <c r="B72" s="52" t="s">
        <v>9</v>
      </c>
      <c r="C72" s="63" t="s">
        <v>127</v>
      </c>
      <c r="D72" s="54" t="s">
        <v>36</v>
      </c>
      <c r="E72" s="54" t="s">
        <v>118</v>
      </c>
      <c r="F72" s="52" t="str">
        <f>'EN 05009'!B4</f>
        <v>Manifold attachment</v>
      </c>
      <c r="G72" s="54"/>
      <c r="H72" s="55">
        <f t="shared" si="3"/>
        <v>1.092438</v>
      </c>
      <c r="I72" s="390">
        <f>'EN 05009'!N2</f>
        <v>2</v>
      </c>
      <c r="J72" s="55">
        <f>'EN 05009'!N11</f>
        <v>0.10243800000000002</v>
      </c>
      <c r="K72" s="55">
        <f>'EN 05009'!I16</f>
        <v>0.99</v>
      </c>
      <c r="L72" s="55">
        <v>0</v>
      </c>
      <c r="M72" s="55">
        <v>0</v>
      </c>
      <c r="N72" s="55">
        <f t="shared" si="2"/>
        <v>2.184876</v>
      </c>
      <c r="O72" s="56"/>
    </row>
    <row r="73" spans="1:15" ht="13.8" x14ac:dyDescent="0.25">
      <c r="A73" s="51">
        <v>67</v>
      </c>
      <c r="B73" s="52" t="s">
        <v>9</v>
      </c>
      <c r="C73" s="63" t="s">
        <v>1048</v>
      </c>
      <c r="D73" s="54" t="s">
        <v>36</v>
      </c>
      <c r="E73" s="54" t="s">
        <v>118</v>
      </c>
      <c r="F73" s="52" t="str">
        <f>'EN 05010'!B4</f>
        <v>Reinforcing plate</v>
      </c>
      <c r="G73" s="54"/>
      <c r="H73" s="55">
        <f>SUM(J73:M73)</f>
        <v>2.1347896</v>
      </c>
      <c r="I73" s="390">
        <f>'EN 05010'!N2</f>
        <v>1</v>
      </c>
      <c r="J73" s="55">
        <f>'EN 05010'!N11</f>
        <v>0.71478959999999991</v>
      </c>
      <c r="K73" s="55">
        <f>'EN 05010'!I16</f>
        <v>1.42</v>
      </c>
      <c r="L73" s="55">
        <v>0</v>
      </c>
      <c r="M73" s="55">
        <v>0</v>
      </c>
      <c r="N73" s="55">
        <f t="shared" si="2"/>
        <v>2.1347896</v>
      </c>
      <c r="O73" s="56"/>
    </row>
    <row r="74" spans="1:15" ht="13.8" x14ac:dyDescent="0.25">
      <c r="A74" s="43">
        <v>68</v>
      </c>
      <c r="B74" s="43" t="s">
        <v>9</v>
      </c>
      <c r="C74" s="43" t="s">
        <v>128</v>
      </c>
      <c r="D74" s="43" t="s">
        <v>36</v>
      </c>
      <c r="E74" s="43"/>
      <c r="F74" s="43" t="s">
        <v>129</v>
      </c>
      <c r="G74" s="43"/>
      <c r="H74" s="46">
        <f>SUM(J74:M74)</f>
        <v>130.19333333333333</v>
      </c>
      <c r="I74" s="960">
        <f>'EN A0006'!N2</f>
        <v>1</v>
      </c>
      <c r="J74" s="46">
        <f>'EN A0006'!N32</f>
        <v>118.6</v>
      </c>
      <c r="K74" s="46">
        <f>'EN A0006'!I64</f>
        <v>8.99</v>
      </c>
      <c r="L74" s="46">
        <f>'EN A0006'!J78</f>
        <v>1.27</v>
      </c>
      <c r="M74" s="46">
        <f>'EN A0006'!I82</f>
        <v>1.3333333333333333</v>
      </c>
      <c r="N74" s="46">
        <f t="shared" si="2"/>
        <v>130.19333333333333</v>
      </c>
      <c r="O74" s="47"/>
    </row>
    <row r="75" spans="1:15" ht="13.8" x14ac:dyDescent="0.25">
      <c r="A75" s="51">
        <v>69</v>
      </c>
      <c r="B75" s="52" t="s">
        <v>9</v>
      </c>
      <c r="C75" s="63" t="s">
        <v>130</v>
      </c>
      <c r="D75" s="54" t="s">
        <v>36</v>
      </c>
      <c r="E75" s="54" t="s">
        <v>129</v>
      </c>
      <c r="F75" s="52" t="str">
        <f>'EN 06001'!B4</f>
        <v>Throttle flange</v>
      </c>
      <c r="G75" s="54"/>
      <c r="H75" s="55">
        <f>SUM(J75:M75)</f>
        <v>5.1784480000000004</v>
      </c>
      <c r="I75" s="390">
        <f>'EN 06001'!N2</f>
        <v>1</v>
      </c>
      <c r="J75" s="55">
        <f>'EN 06001'!N11</f>
        <v>0.7284480000000001</v>
      </c>
      <c r="K75" s="55">
        <f>'EN 06001'!I17</f>
        <v>4.45</v>
      </c>
      <c r="L75" s="55">
        <v>0</v>
      </c>
      <c r="M75" s="55">
        <v>0</v>
      </c>
      <c r="N75" s="55">
        <f t="shared" si="2"/>
        <v>5.1784480000000004</v>
      </c>
      <c r="O75" s="56"/>
    </row>
    <row r="76" spans="1:15" ht="13.8" x14ac:dyDescent="0.25">
      <c r="A76" s="51">
        <v>70</v>
      </c>
      <c r="B76" s="52" t="s">
        <v>9</v>
      </c>
      <c r="C76" s="63" t="s">
        <v>131</v>
      </c>
      <c r="D76" s="54" t="s">
        <v>36</v>
      </c>
      <c r="E76" s="54" t="s">
        <v>129</v>
      </c>
      <c r="F76" s="52" t="str">
        <f>'EN 06002'!B4</f>
        <v>Restrictor</v>
      </c>
      <c r="G76" s="54"/>
      <c r="H76" s="55">
        <f>SUM(J76:M76)</f>
        <v>5.7261110680000007</v>
      </c>
      <c r="I76" s="390">
        <f>'EN 06002'!N2</f>
        <v>1</v>
      </c>
      <c r="J76" s="55">
        <f>'EN 06002'!N11</f>
        <v>1.5761110680000001</v>
      </c>
      <c r="K76" s="55">
        <f>'EN 06002'!I18</f>
        <v>4.1500000000000004</v>
      </c>
      <c r="L76" s="55">
        <v>0</v>
      </c>
      <c r="M76" s="55">
        <v>0</v>
      </c>
      <c r="N76" s="55">
        <f t="shared" si="2"/>
        <v>5.7261110680000007</v>
      </c>
      <c r="O76" s="56"/>
    </row>
    <row r="77" spans="1:15" ht="13.8" x14ac:dyDescent="0.25">
      <c r="A77" s="51">
        <v>71</v>
      </c>
      <c r="B77" s="52" t="s">
        <v>9</v>
      </c>
      <c r="C77" s="63" t="s">
        <v>133</v>
      </c>
      <c r="D77" s="54" t="s">
        <v>36</v>
      </c>
      <c r="E77" s="54" t="s">
        <v>129</v>
      </c>
      <c r="F77" s="52" t="str">
        <f>'EN 06003'!B4</f>
        <v>Throttle housing</v>
      </c>
      <c r="G77" s="54"/>
      <c r="H77" s="55">
        <f t="shared" ref="H77:H87" si="4">SUM(J77:M77)</f>
        <v>4.2751134999999998</v>
      </c>
      <c r="I77" s="390">
        <f>'EN 06003'!N2</f>
        <v>1</v>
      </c>
      <c r="J77" s="55">
        <f>'EN 06003'!N11</f>
        <v>0.84511350000000007</v>
      </c>
      <c r="K77" s="55">
        <f>'EN 06003'!I18</f>
        <v>3.4299999999999997</v>
      </c>
      <c r="L77" s="55">
        <v>0</v>
      </c>
      <c r="M77" s="55">
        <v>0</v>
      </c>
      <c r="N77" s="55">
        <f t="shared" si="2"/>
        <v>4.2751134999999998</v>
      </c>
      <c r="O77" s="56"/>
    </row>
    <row r="78" spans="1:15" ht="13.8" x14ac:dyDescent="0.25">
      <c r="A78" s="51">
        <v>72</v>
      </c>
      <c r="B78" s="52" t="s">
        <v>9</v>
      </c>
      <c r="C78" s="63" t="s">
        <v>134</v>
      </c>
      <c r="D78" s="54" t="s">
        <v>36</v>
      </c>
      <c r="E78" s="58" t="s">
        <v>129</v>
      </c>
      <c r="F78" s="52" t="str">
        <f>'EN 06004'!B4</f>
        <v>Throttle axle</v>
      </c>
      <c r="G78" s="54"/>
      <c r="H78" s="55">
        <f t="shared" si="4"/>
        <v>2.7251069999999999</v>
      </c>
      <c r="I78" s="390">
        <f>'EN 06004'!N2</f>
        <v>1</v>
      </c>
      <c r="J78" s="55">
        <f>'EN 06004'!N11</f>
        <v>5.5107000000000003E-2</v>
      </c>
      <c r="K78" s="55">
        <f>'EN 06004'!I18</f>
        <v>2.67</v>
      </c>
      <c r="L78" s="55">
        <v>0</v>
      </c>
      <c r="M78" s="55">
        <v>0</v>
      </c>
      <c r="N78" s="55">
        <f t="shared" si="2"/>
        <v>2.7251069999999999</v>
      </c>
      <c r="O78" s="56"/>
    </row>
    <row r="79" spans="1:15" ht="13.8" x14ac:dyDescent="0.25">
      <c r="A79" s="51">
        <v>73</v>
      </c>
      <c r="B79" s="52" t="s">
        <v>9</v>
      </c>
      <c r="C79" s="63" t="s">
        <v>135</v>
      </c>
      <c r="D79" s="54" t="s">
        <v>36</v>
      </c>
      <c r="E79" s="54" t="s">
        <v>129</v>
      </c>
      <c r="F79" s="52" t="str">
        <f>'EN 06005'!B4</f>
        <v>TPS axle</v>
      </c>
      <c r="G79" s="54"/>
      <c r="H79" s="55">
        <f t="shared" si="4"/>
        <v>2.7113302500000001</v>
      </c>
      <c r="I79" s="390">
        <f>'EN 06005'!N2</f>
        <v>1</v>
      </c>
      <c r="J79" s="55">
        <f>'EN 06005'!N11</f>
        <v>4.1330249999999999E-2</v>
      </c>
      <c r="K79" s="55">
        <f>'EN 06005'!I18</f>
        <v>2.67</v>
      </c>
      <c r="L79" s="55">
        <v>0</v>
      </c>
      <c r="M79" s="55">
        <v>0</v>
      </c>
      <c r="N79" s="55">
        <f t="shared" si="2"/>
        <v>2.7113302500000001</v>
      </c>
      <c r="O79" s="56"/>
    </row>
    <row r="80" spans="1:15" ht="13.8" x14ac:dyDescent="0.25">
      <c r="A80" s="51">
        <v>74</v>
      </c>
      <c r="B80" s="52" t="s">
        <v>9</v>
      </c>
      <c r="C80" s="63" t="s">
        <v>136</v>
      </c>
      <c r="D80" s="54" t="s">
        <v>36</v>
      </c>
      <c r="E80" s="54" t="s">
        <v>129</v>
      </c>
      <c r="F80" s="52" t="str">
        <f>'EN 06006'!B4</f>
        <v>Throttle plate</v>
      </c>
      <c r="G80" s="54"/>
      <c r="H80" s="55">
        <f t="shared" si="4"/>
        <v>1.49053696</v>
      </c>
      <c r="I80" s="390">
        <f>'EN 06006'!N2</f>
        <v>1</v>
      </c>
      <c r="J80" s="55">
        <f>'EN 06006'!N11</f>
        <v>7.0536959999999996E-2</v>
      </c>
      <c r="K80" s="55">
        <f>'EN 06006'!I16</f>
        <v>1.42</v>
      </c>
      <c r="L80" s="55">
        <v>0</v>
      </c>
      <c r="M80" s="55">
        <v>0</v>
      </c>
      <c r="N80" s="55">
        <f t="shared" si="2"/>
        <v>1.49053696</v>
      </c>
      <c r="O80" s="56"/>
    </row>
    <row r="81" spans="1:15" ht="13.8" x14ac:dyDescent="0.25">
      <c r="A81" s="51">
        <v>75</v>
      </c>
      <c r="B81" s="52" t="s">
        <v>9</v>
      </c>
      <c r="C81" s="63" t="s">
        <v>137</v>
      </c>
      <c r="D81" s="54" t="s">
        <v>36</v>
      </c>
      <c r="E81" s="54" t="s">
        <v>129</v>
      </c>
      <c r="F81" s="52" t="str">
        <f>'EN 06007'!B4</f>
        <v>Cable housing</v>
      </c>
      <c r="G81" s="54"/>
      <c r="H81" s="55">
        <f t="shared" si="4"/>
        <v>4.5684800000000001</v>
      </c>
      <c r="I81" s="390">
        <f>'EN 06007'!N2</f>
        <v>1</v>
      </c>
      <c r="J81" s="55">
        <f>'EN 06007'!N11</f>
        <v>0.16847999999999996</v>
      </c>
      <c r="K81" s="55">
        <f>'EN 06007'!I18</f>
        <v>3.4</v>
      </c>
      <c r="L81" s="55">
        <v>0</v>
      </c>
      <c r="M81" s="55">
        <f>'EN 06007'!I22</f>
        <v>1</v>
      </c>
      <c r="N81" s="55">
        <f t="shared" si="2"/>
        <v>4.5684800000000001</v>
      </c>
      <c r="O81" s="56"/>
    </row>
    <row r="82" spans="1:15" ht="13.8" x14ac:dyDescent="0.25">
      <c r="A82" s="51">
        <v>76</v>
      </c>
      <c r="B82" s="52" t="s">
        <v>9</v>
      </c>
      <c r="C82" s="63" t="s">
        <v>138</v>
      </c>
      <c r="D82" s="54" t="s">
        <v>36</v>
      </c>
      <c r="E82" s="54" t="s">
        <v>129</v>
      </c>
      <c r="F82" s="52" t="str">
        <f>'EN 06008'!B4</f>
        <v>Axle stop</v>
      </c>
      <c r="G82" s="54"/>
      <c r="H82" s="55">
        <f t="shared" si="4"/>
        <v>2.0383140625</v>
      </c>
      <c r="I82" s="390">
        <f>'EN 06008'!N2</f>
        <v>1</v>
      </c>
      <c r="J82" s="55">
        <f>'EN 06008'!N11</f>
        <v>0.25831406249999994</v>
      </c>
      <c r="K82" s="55">
        <f>'EN 06008'!I16</f>
        <v>1.78</v>
      </c>
      <c r="L82" s="55">
        <v>0</v>
      </c>
      <c r="M82" s="55">
        <v>0</v>
      </c>
      <c r="N82" s="55">
        <f t="shared" si="2"/>
        <v>2.0383140625</v>
      </c>
      <c r="O82" s="56"/>
    </row>
    <row r="83" spans="1:15" ht="13.8" x14ac:dyDescent="0.25">
      <c r="A83" s="51">
        <v>77</v>
      </c>
      <c r="B83" s="52" t="s">
        <v>9</v>
      </c>
      <c r="C83" s="63" t="s">
        <v>139</v>
      </c>
      <c r="D83" s="54" t="s">
        <v>36</v>
      </c>
      <c r="E83" s="54" t="s">
        <v>129</v>
      </c>
      <c r="F83" s="52" t="str">
        <f>'EN 06009'!B4</f>
        <v>Ram pipe</v>
      </c>
      <c r="G83" s="54"/>
      <c r="H83" s="55">
        <f t="shared" si="4"/>
        <v>12.50282176</v>
      </c>
      <c r="I83" s="390">
        <f>'EN 06009'!N2</f>
        <v>1</v>
      </c>
      <c r="J83" s="55">
        <f>'EN 06009'!N11</f>
        <v>4.0028217599999998</v>
      </c>
      <c r="K83" s="55">
        <f>'EN 06009'!I16</f>
        <v>8.5</v>
      </c>
      <c r="L83" s="55">
        <v>0</v>
      </c>
      <c r="M83" s="55">
        <v>0</v>
      </c>
      <c r="N83" s="55">
        <f t="shared" si="2"/>
        <v>12.50282176</v>
      </c>
      <c r="O83" s="56"/>
    </row>
    <row r="84" spans="1:15" ht="13.8" x14ac:dyDescent="0.25">
      <c r="A84" s="51">
        <v>78</v>
      </c>
      <c r="B84" s="52" t="s">
        <v>9</v>
      </c>
      <c r="C84" s="63" t="s">
        <v>140</v>
      </c>
      <c r="D84" s="54" t="s">
        <v>36</v>
      </c>
      <c r="E84" s="54" t="s">
        <v>129</v>
      </c>
      <c r="F84" s="52" t="str">
        <f>'EN 06010'!B4</f>
        <v>Tab</v>
      </c>
      <c r="G84" s="54"/>
      <c r="H84" s="55">
        <f t="shared" si="4"/>
        <v>1.2881782500000001</v>
      </c>
      <c r="I84" s="390">
        <f>'EN 06010'!N2</f>
        <v>2</v>
      </c>
      <c r="J84" s="55">
        <f>'EN 06010'!N11</f>
        <v>5.8178250000000001E-2</v>
      </c>
      <c r="K84" s="55">
        <f>'EN 06010'!I17</f>
        <v>1.23</v>
      </c>
      <c r="L84" s="55">
        <v>0</v>
      </c>
      <c r="M84" s="55">
        <v>0</v>
      </c>
      <c r="N84" s="55">
        <f t="shared" si="2"/>
        <v>2.5763565000000002</v>
      </c>
      <c r="O84" s="56"/>
    </row>
    <row r="85" spans="1:15" ht="13.8" x14ac:dyDescent="0.25">
      <c r="A85" s="51">
        <v>79</v>
      </c>
      <c r="B85" s="52" t="s">
        <v>9</v>
      </c>
      <c r="C85" s="63" t="s">
        <v>142</v>
      </c>
      <c r="D85" s="54" t="s">
        <v>36</v>
      </c>
      <c r="E85" s="54" t="s">
        <v>129</v>
      </c>
      <c r="F85" s="52" t="str">
        <f>'EN 06011'!B4</f>
        <v>Trottle body bracket</v>
      </c>
      <c r="G85" s="54"/>
      <c r="H85" s="55">
        <f t="shared" si="4"/>
        <v>2.923168</v>
      </c>
      <c r="I85" s="390">
        <f>'EN 06011'!N2</f>
        <v>1</v>
      </c>
      <c r="J85" s="55">
        <f>'EN 06011'!N11</f>
        <v>0.27316800000000002</v>
      </c>
      <c r="K85" s="55">
        <f>'EN 06011'!I17</f>
        <v>2.65</v>
      </c>
      <c r="L85" s="55">
        <v>0</v>
      </c>
      <c r="M85" s="55">
        <v>0</v>
      </c>
      <c r="N85" s="55">
        <f t="shared" si="2"/>
        <v>2.923168</v>
      </c>
      <c r="O85" s="56"/>
    </row>
    <row r="86" spans="1:15" ht="13.8" x14ac:dyDescent="0.25">
      <c r="A86" s="51">
        <v>80</v>
      </c>
      <c r="B86" s="52" t="s">
        <v>9</v>
      </c>
      <c r="C86" s="63" t="s">
        <v>143</v>
      </c>
      <c r="D86" s="54" t="s">
        <v>36</v>
      </c>
      <c r="E86" s="54" t="s">
        <v>129</v>
      </c>
      <c r="F86" s="52" t="str">
        <f>'EN 06012'!B4</f>
        <v>Throttle body upper collar</v>
      </c>
      <c r="G86" s="54"/>
      <c r="H86" s="55">
        <f t="shared" si="4"/>
        <v>0.50731680000000001</v>
      </c>
      <c r="I86" s="390">
        <f>'EN 06012'!N2</f>
        <v>1</v>
      </c>
      <c r="J86" s="55">
        <f>'EN 06012'!N11</f>
        <v>2.7316799999999999E-2</v>
      </c>
      <c r="K86" s="55">
        <f>'EN 06012'!I15</f>
        <v>0.48</v>
      </c>
      <c r="L86" s="55">
        <v>0</v>
      </c>
      <c r="M86" s="55">
        <v>0</v>
      </c>
      <c r="N86" s="55">
        <f t="shared" si="2"/>
        <v>0.50731680000000001</v>
      </c>
      <c r="O86" s="56"/>
    </row>
    <row r="87" spans="1:15" ht="13.8" x14ac:dyDescent="0.25">
      <c r="A87" s="51">
        <v>81</v>
      </c>
      <c r="B87" s="52" t="s">
        <v>9</v>
      </c>
      <c r="C87" s="63" t="s">
        <v>144</v>
      </c>
      <c r="D87" s="54" t="s">
        <v>36</v>
      </c>
      <c r="E87" s="54" t="s">
        <v>129</v>
      </c>
      <c r="F87" s="52" t="str">
        <f>'EN 06013'!B4</f>
        <v>Throttle body bottom collar</v>
      </c>
      <c r="G87" s="54"/>
      <c r="H87" s="55">
        <f t="shared" si="4"/>
        <v>1.9073168</v>
      </c>
      <c r="I87" s="390">
        <f>'EN 06013'!N2</f>
        <v>1</v>
      </c>
      <c r="J87" s="55">
        <f>'EN 06013'!N11</f>
        <v>2.7316799999999999E-2</v>
      </c>
      <c r="K87" s="55">
        <f>'EN 06013'!I17</f>
        <v>1.8800000000000001</v>
      </c>
      <c r="L87" s="55">
        <v>0</v>
      </c>
      <c r="M87" s="55">
        <v>0</v>
      </c>
      <c r="N87" s="55">
        <f t="shared" si="2"/>
        <v>1.9073168</v>
      </c>
      <c r="O87" s="56"/>
    </row>
    <row r="88" spans="1:15" ht="13.8" x14ac:dyDescent="0.25">
      <c r="A88" s="43">
        <v>82</v>
      </c>
      <c r="B88" s="44" t="s">
        <v>9</v>
      </c>
      <c r="C88" s="45" t="s">
        <v>145</v>
      </c>
      <c r="D88" s="45" t="s">
        <v>36</v>
      </c>
      <c r="E88" s="45"/>
      <c r="F88" s="44" t="s">
        <v>146</v>
      </c>
      <c r="G88" s="45"/>
      <c r="H88" s="46">
        <f t="shared" si="3"/>
        <v>22.903333333333332</v>
      </c>
      <c r="I88" s="960">
        <f>'EN A0007'!N2</f>
        <v>1</v>
      </c>
      <c r="J88" s="46">
        <v>0</v>
      </c>
      <c r="K88" s="46">
        <f>'EN A0007'!I20</f>
        <v>17.45</v>
      </c>
      <c r="L88" s="46">
        <f>'EN A0007'!J24</f>
        <v>2.12</v>
      </c>
      <c r="M88" s="46">
        <f>'EN A0007'!I28</f>
        <v>3.3333333333333335</v>
      </c>
      <c r="N88" s="46">
        <f t="shared" si="2"/>
        <v>22.903333333333332</v>
      </c>
      <c r="O88" s="50"/>
    </row>
    <row r="89" spans="1:15" ht="13.8" x14ac:dyDescent="0.25">
      <c r="A89" s="51">
        <v>83</v>
      </c>
      <c r="B89" s="52" t="s">
        <v>9</v>
      </c>
      <c r="C89" s="63" t="s">
        <v>147</v>
      </c>
      <c r="D89" s="54" t="s">
        <v>36</v>
      </c>
      <c r="E89" s="54" t="s">
        <v>146</v>
      </c>
      <c r="F89" s="52" t="str">
        <f>'EN 07001'!B4</f>
        <v>Overflow bottle</v>
      </c>
      <c r="G89" s="54"/>
      <c r="H89" s="55">
        <f t="shared" si="3"/>
        <v>36.533628582133332</v>
      </c>
      <c r="I89" s="390">
        <f>'EN 07001'!N2</f>
        <v>2</v>
      </c>
      <c r="J89" s="55">
        <f>'EN 07001'!N14</f>
        <v>2.8002952487999999</v>
      </c>
      <c r="K89" s="55">
        <f>'EN 07001'!I24</f>
        <v>30.4</v>
      </c>
      <c r="L89" s="55">
        <v>0</v>
      </c>
      <c r="M89" s="55">
        <f>'EN 07001'!I28</f>
        <v>3.3333333333333335</v>
      </c>
      <c r="N89" s="55">
        <f t="shared" si="2"/>
        <v>73.067257164266664</v>
      </c>
      <c r="O89" s="56"/>
    </row>
    <row r="90" spans="1:15" ht="13.8" x14ac:dyDescent="0.25">
      <c r="A90" s="51">
        <v>84</v>
      </c>
      <c r="B90" s="52" t="s">
        <v>9</v>
      </c>
      <c r="C90" s="63" t="s">
        <v>148</v>
      </c>
      <c r="D90" s="54" t="s">
        <v>36</v>
      </c>
      <c r="E90" s="54" t="s">
        <v>146</v>
      </c>
      <c r="F90" s="52" t="str">
        <f>'EN 07002'!B4</f>
        <v>Overflow lines</v>
      </c>
      <c r="G90" s="54"/>
      <c r="H90" s="55">
        <f t="shared" si="3"/>
        <v>3.3</v>
      </c>
      <c r="I90" s="390">
        <f>'EN 07002'!N2</f>
        <v>2</v>
      </c>
      <c r="J90" s="55">
        <f>'EN 07002'!N11</f>
        <v>2.82</v>
      </c>
      <c r="K90" s="55">
        <f>'EN 07002'!I15</f>
        <v>0.48</v>
      </c>
      <c r="L90" s="55">
        <v>0</v>
      </c>
      <c r="M90" s="55">
        <v>0</v>
      </c>
      <c r="N90" s="55">
        <f t="shared" si="2"/>
        <v>6.6</v>
      </c>
      <c r="O90" s="56"/>
    </row>
    <row r="91" spans="1:15" ht="13.8" x14ac:dyDescent="0.25">
      <c r="A91" s="43">
        <v>85</v>
      </c>
      <c r="B91" s="44" t="s">
        <v>9</v>
      </c>
      <c r="C91" s="45" t="s">
        <v>149</v>
      </c>
      <c r="D91" s="45" t="s">
        <v>36</v>
      </c>
      <c r="E91" s="45"/>
      <c r="F91" s="44" t="s">
        <v>150</v>
      </c>
      <c r="G91" s="45"/>
      <c r="H91" s="46">
        <f t="shared" si="3"/>
        <v>23.903199999999998</v>
      </c>
      <c r="I91" s="960">
        <f>'EN A0008'!N2</f>
        <v>1</v>
      </c>
      <c r="J91" s="46">
        <f>'EN A0008'!N22</f>
        <v>8.1</v>
      </c>
      <c r="K91" s="46">
        <f>'EN A0008'!I39</f>
        <v>12.24</v>
      </c>
      <c r="L91" s="46">
        <f>'EN A0008'!J48</f>
        <v>1.5632000000000001</v>
      </c>
      <c r="M91" s="46">
        <f>'EN A0008'!I52</f>
        <v>2</v>
      </c>
      <c r="N91" s="46">
        <f t="shared" si="2"/>
        <v>23.903199999999998</v>
      </c>
      <c r="O91" s="50"/>
    </row>
    <row r="92" spans="1:15" ht="13.8" x14ac:dyDescent="0.25">
      <c r="A92" s="51">
        <v>86</v>
      </c>
      <c r="B92" s="52" t="s">
        <v>9</v>
      </c>
      <c r="C92" s="63" t="s">
        <v>151</v>
      </c>
      <c r="D92" s="54" t="s">
        <v>36</v>
      </c>
      <c r="E92" s="52" t="s">
        <v>150</v>
      </c>
      <c r="F92" s="52" t="str">
        <f>'EN 08001'!B4</f>
        <v>Coolant lines</v>
      </c>
      <c r="G92" s="54"/>
      <c r="H92" s="55">
        <f t="shared" si="3"/>
        <v>50.372800000000005</v>
      </c>
      <c r="I92" s="390">
        <f>'EN 08001'!N2</f>
        <v>1</v>
      </c>
      <c r="J92" s="55">
        <f>'EN 08001'!N13</f>
        <v>38.92</v>
      </c>
      <c r="K92" s="55">
        <f>'EN 08001'!I19</f>
        <v>6.6400000000000006</v>
      </c>
      <c r="L92" s="55">
        <f>'EN 08001'!J24</f>
        <v>4.8128000000000002</v>
      </c>
      <c r="M92" s="55">
        <v>0</v>
      </c>
      <c r="N92" s="55">
        <f t="shared" ref="N92:N121" si="5">H92*I92</f>
        <v>50.372800000000005</v>
      </c>
      <c r="O92" s="56"/>
    </row>
    <row r="93" spans="1:15" ht="13.8" x14ac:dyDescent="0.25">
      <c r="A93" s="51">
        <v>87</v>
      </c>
      <c r="B93" s="52" t="s">
        <v>9</v>
      </c>
      <c r="C93" s="63" t="s">
        <v>152</v>
      </c>
      <c r="D93" s="54" t="s">
        <v>36</v>
      </c>
      <c r="E93" s="52" t="s">
        <v>150</v>
      </c>
      <c r="F93" s="52" t="str">
        <f>'EN 08002'!B4</f>
        <v>Radiator</v>
      </c>
      <c r="G93" s="54"/>
      <c r="H93" s="55">
        <f t="shared" si="3"/>
        <v>28.191943200000001</v>
      </c>
      <c r="I93" s="390">
        <f>'EN 08002'!N2</f>
        <v>1</v>
      </c>
      <c r="J93" s="55">
        <f>'EN 08002'!N13</f>
        <v>21.580543200000001</v>
      </c>
      <c r="K93" s="55">
        <f>'EN 08002'!I22</f>
        <v>6.1114000000000006</v>
      </c>
      <c r="L93" s="55">
        <v>0</v>
      </c>
      <c r="M93" s="55">
        <f>'EN 08002'!I28</f>
        <v>0.5</v>
      </c>
      <c r="N93" s="55">
        <f t="shared" si="5"/>
        <v>28.191943200000001</v>
      </c>
      <c r="O93" s="56"/>
    </row>
    <row r="94" spans="1:15" ht="13.8" x14ac:dyDescent="0.25">
      <c r="A94" s="51">
        <v>88</v>
      </c>
      <c r="B94" s="52" t="s">
        <v>9</v>
      </c>
      <c r="C94" s="63" t="s">
        <v>154</v>
      </c>
      <c r="D94" s="54" t="s">
        <v>36</v>
      </c>
      <c r="E94" s="52" t="s">
        <v>150</v>
      </c>
      <c r="F94" s="52" t="str">
        <f>'EN 08003'!B4</f>
        <v>Fan</v>
      </c>
      <c r="G94" s="54"/>
      <c r="H94" s="55">
        <f t="shared" ref="H94:H117" si="6">SUM(J94:M94)</f>
        <v>34.351056</v>
      </c>
      <c r="I94" s="390">
        <f>'EN 08003'!N2</f>
        <v>1</v>
      </c>
      <c r="J94" s="55">
        <f>'EN 08003'!N12</f>
        <v>30.091055999999998</v>
      </c>
      <c r="K94" s="55">
        <f>'EN 08003'!I20</f>
        <v>3.98</v>
      </c>
      <c r="L94" s="55">
        <f>'EN 08003'!J26</f>
        <v>0.27999999999999997</v>
      </c>
      <c r="M94" s="55">
        <v>0</v>
      </c>
      <c r="N94" s="55">
        <f t="shared" si="5"/>
        <v>34.351056</v>
      </c>
      <c r="O94" s="56"/>
    </row>
    <row r="95" spans="1:15" ht="13.8" x14ac:dyDescent="0.25">
      <c r="A95" s="51">
        <v>89</v>
      </c>
      <c r="B95" s="52" t="s">
        <v>9</v>
      </c>
      <c r="C95" s="63" t="s">
        <v>156</v>
      </c>
      <c r="D95" s="54" t="s">
        <v>36</v>
      </c>
      <c r="E95" s="52" t="s">
        <v>150</v>
      </c>
      <c r="F95" s="52" t="str">
        <f>'EN 08004'!B4</f>
        <v>Expansion Tank</v>
      </c>
      <c r="G95" s="54"/>
      <c r="H95" s="55">
        <f t="shared" si="6"/>
        <v>22.148124633333332</v>
      </c>
      <c r="I95" s="390">
        <f>'EN 08004'!N2</f>
        <v>1</v>
      </c>
      <c r="J95" s="55">
        <f>'EN 08004'!N14</f>
        <v>2.8553913000000004</v>
      </c>
      <c r="K95" s="55">
        <f>'EN 08004'!I26</f>
        <v>17.459399999999999</v>
      </c>
      <c r="L95" s="55">
        <v>0</v>
      </c>
      <c r="M95" s="55">
        <f>'EN 08004'!I31</f>
        <v>1.8333333333333333</v>
      </c>
      <c r="N95" s="55">
        <f t="shared" si="5"/>
        <v>22.148124633333332</v>
      </c>
      <c r="O95" s="56"/>
    </row>
    <row r="96" spans="1:15" ht="13.8" x14ac:dyDescent="0.25">
      <c r="A96" s="51">
        <v>90</v>
      </c>
      <c r="B96" s="52" t="s">
        <v>9</v>
      </c>
      <c r="C96" s="63" t="s">
        <v>158</v>
      </c>
      <c r="D96" s="54" t="s">
        <v>36</v>
      </c>
      <c r="E96" s="52" t="s">
        <v>150</v>
      </c>
      <c r="F96" s="52" t="str">
        <f>'EN 08005'!B4</f>
        <v>Radiator upper tab</v>
      </c>
      <c r="G96" s="54"/>
      <c r="H96" s="55">
        <f t="shared" si="6"/>
        <v>1.8929199699999999</v>
      </c>
      <c r="I96" s="390">
        <f>'EN 08005'!N2</f>
        <v>1</v>
      </c>
      <c r="J96" s="55">
        <f>'EN 08005'!N12</f>
        <v>5.5919969999999992E-2</v>
      </c>
      <c r="K96" s="55">
        <f>'EN 08005'!I17</f>
        <v>1.837</v>
      </c>
      <c r="L96" s="55">
        <v>0</v>
      </c>
      <c r="M96" s="55">
        <v>0</v>
      </c>
      <c r="N96" s="55">
        <f t="shared" si="5"/>
        <v>1.8929199699999999</v>
      </c>
      <c r="O96" s="56"/>
    </row>
    <row r="97" spans="1:15" ht="13.8" x14ac:dyDescent="0.25">
      <c r="A97" s="51">
        <v>91</v>
      </c>
      <c r="B97" s="52" t="s">
        <v>9</v>
      </c>
      <c r="C97" s="63" t="s">
        <v>159</v>
      </c>
      <c r="D97" s="54" t="s">
        <v>36</v>
      </c>
      <c r="E97" s="52" t="s">
        <v>150</v>
      </c>
      <c r="F97" s="52" t="str">
        <f>'EN 08006'!B4</f>
        <v>Radiator lower tab</v>
      </c>
      <c r="G97" s="54"/>
      <c r="H97" s="55">
        <f t="shared" si="6"/>
        <v>2.000593195</v>
      </c>
      <c r="I97" s="390">
        <f>'EN 08006'!N2</f>
        <v>1</v>
      </c>
      <c r="J97" s="55">
        <f>'EN 08006'!N12</f>
        <v>0.100593195</v>
      </c>
      <c r="K97" s="55">
        <f>'EN 08006'!I17</f>
        <v>1.9000000000000001</v>
      </c>
      <c r="L97" s="55">
        <v>0</v>
      </c>
      <c r="M97" s="55">
        <v>0</v>
      </c>
      <c r="N97" s="55">
        <f t="shared" si="5"/>
        <v>2.000593195</v>
      </c>
      <c r="O97" s="56"/>
    </row>
    <row r="98" spans="1:15" ht="13.8" x14ac:dyDescent="0.25">
      <c r="A98" s="51">
        <v>92</v>
      </c>
      <c r="B98" s="52" t="s">
        <v>9</v>
      </c>
      <c r="C98" s="63" t="s">
        <v>160</v>
      </c>
      <c r="D98" s="54" t="s">
        <v>36</v>
      </c>
      <c r="E98" s="52" t="s">
        <v>150</v>
      </c>
      <c r="F98" s="52" t="str">
        <f>'EN 08007'!B4</f>
        <v>Radiator lateral tab</v>
      </c>
      <c r="G98" s="54"/>
      <c r="H98" s="55">
        <f t="shared" si="6"/>
        <v>1.7337772</v>
      </c>
      <c r="I98" s="390">
        <f>'EN 08007'!N2</f>
        <v>1</v>
      </c>
      <c r="J98" s="55">
        <f>'EN 08007'!N12</f>
        <v>7.0777199999999998E-2</v>
      </c>
      <c r="K98" s="55">
        <f>'EN 08007'!I17</f>
        <v>1.663</v>
      </c>
      <c r="L98" s="55">
        <v>0</v>
      </c>
      <c r="M98" s="55">
        <v>0</v>
      </c>
      <c r="N98" s="55">
        <f t="shared" si="5"/>
        <v>1.7337772</v>
      </c>
      <c r="O98" s="56"/>
    </row>
    <row r="99" spans="1:15" ht="13.8" x14ac:dyDescent="0.25">
      <c r="A99" s="51">
        <v>93</v>
      </c>
      <c r="B99" s="52" t="s">
        <v>9</v>
      </c>
      <c r="C99" s="63" t="s">
        <v>161</v>
      </c>
      <c r="D99" s="54" t="s">
        <v>36</v>
      </c>
      <c r="E99" s="52" t="s">
        <v>150</v>
      </c>
      <c r="F99" s="52" t="str">
        <f>'EN 08008'!B4</f>
        <v>Lateral bar</v>
      </c>
      <c r="G99" s="54"/>
      <c r="H99" s="55">
        <f t="shared" si="6"/>
        <v>1.4804854999999999</v>
      </c>
      <c r="I99" s="390">
        <f>'EN 08008'!N2</f>
        <v>1</v>
      </c>
      <c r="J99" s="55">
        <f>'EN 08008'!N11</f>
        <v>0.23048549999999998</v>
      </c>
      <c r="K99" s="55">
        <f>'EN 08008'!I17</f>
        <v>1.25</v>
      </c>
      <c r="L99" s="55">
        <v>0</v>
      </c>
      <c r="M99" s="55">
        <v>0</v>
      </c>
      <c r="N99" s="55">
        <f t="shared" si="5"/>
        <v>1.4804854999999999</v>
      </c>
      <c r="O99" s="56"/>
    </row>
    <row r="100" spans="1:15" ht="13.8" x14ac:dyDescent="0.25">
      <c r="A100" s="43">
        <v>94</v>
      </c>
      <c r="B100" s="44" t="s">
        <v>9</v>
      </c>
      <c r="C100" s="45" t="s">
        <v>162</v>
      </c>
      <c r="D100" s="45" t="s">
        <v>36</v>
      </c>
      <c r="E100" s="44"/>
      <c r="F100" s="44" t="s">
        <v>163</v>
      </c>
      <c r="G100" s="45"/>
      <c r="H100" s="46">
        <f t="shared" si="6"/>
        <v>91.025003333333331</v>
      </c>
      <c r="I100" s="960">
        <f>'EN A0009'!N2</f>
        <v>1</v>
      </c>
      <c r="J100" s="46">
        <f>'EN A0009'!N20</f>
        <v>78.475000000000009</v>
      </c>
      <c r="K100" s="46">
        <f>'EN A0009'!I33</f>
        <v>9.8966700000000003</v>
      </c>
      <c r="L100" s="46">
        <f>'EN A0009'!J42</f>
        <v>1.3199999999999998</v>
      </c>
      <c r="M100" s="46">
        <f>'EN A0009'!I46</f>
        <v>1.3333333333333333</v>
      </c>
      <c r="N100" s="46">
        <f t="shared" si="5"/>
        <v>91.025003333333331</v>
      </c>
      <c r="O100" s="50"/>
    </row>
    <row r="101" spans="1:15" ht="13.8" x14ac:dyDescent="0.25">
      <c r="A101" s="51">
        <v>95</v>
      </c>
      <c r="B101" s="52" t="s">
        <v>9</v>
      </c>
      <c r="C101" s="63" t="s">
        <v>164</v>
      </c>
      <c r="D101" s="54" t="s">
        <v>36</v>
      </c>
      <c r="E101" s="52" t="s">
        <v>163</v>
      </c>
      <c r="F101" s="52" t="str">
        <f>'EN 09001'!B4</f>
        <v>Housing</v>
      </c>
      <c r="G101" s="54"/>
      <c r="H101" s="55">
        <f t="shared" si="6"/>
        <v>125.31212934775739</v>
      </c>
      <c r="I101" s="390">
        <f>'EN 09001'!N2</f>
        <v>1</v>
      </c>
      <c r="J101" s="55">
        <f>'EN 09001'!N14</f>
        <v>21.584279121797021</v>
      </c>
      <c r="K101" s="55">
        <f>'EN 09001'!I31</f>
        <v>100.58985022596036</v>
      </c>
      <c r="L101" s="55">
        <f>'EN 09001'!J38</f>
        <v>3.1379999999999999</v>
      </c>
      <c r="M101" s="55">
        <v>0</v>
      </c>
      <c r="N101" s="55">
        <f t="shared" si="5"/>
        <v>125.31212934775739</v>
      </c>
      <c r="O101" s="56"/>
    </row>
    <row r="102" spans="1:15" ht="13.8" x14ac:dyDescent="0.25">
      <c r="A102" s="51">
        <v>96</v>
      </c>
      <c r="B102" s="52" t="s">
        <v>9</v>
      </c>
      <c r="C102" s="63" t="s">
        <v>166</v>
      </c>
      <c r="D102" s="54" t="s">
        <v>36</v>
      </c>
      <c r="E102" s="52" t="s">
        <v>163</v>
      </c>
      <c r="F102" s="52" t="str">
        <f>'EN 09002'!B4</f>
        <v>Internals</v>
      </c>
      <c r="G102" s="54"/>
      <c r="H102" s="55">
        <f t="shared" si="6"/>
        <v>110</v>
      </c>
      <c r="I102" s="390">
        <f>'EN 09002'!N2</f>
        <v>1</v>
      </c>
      <c r="J102" s="55">
        <f>'EN 09002'!N11</f>
        <v>110</v>
      </c>
      <c r="K102" s="55">
        <v>0</v>
      </c>
      <c r="L102" s="55">
        <v>0</v>
      </c>
      <c r="M102" s="55">
        <v>0</v>
      </c>
      <c r="N102" s="55">
        <f t="shared" si="5"/>
        <v>110</v>
      </c>
      <c r="O102" s="56"/>
    </row>
    <row r="103" spans="1:15" ht="13.8" x14ac:dyDescent="0.25">
      <c r="A103" s="51">
        <v>97</v>
      </c>
      <c r="B103" s="52" t="s">
        <v>9</v>
      </c>
      <c r="C103" s="63" t="s">
        <v>168</v>
      </c>
      <c r="D103" s="54" t="s">
        <v>36</v>
      </c>
      <c r="E103" s="52" t="s">
        <v>163</v>
      </c>
      <c r="F103" s="52" t="str">
        <f>'EN 09003'!B4</f>
        <v>Bearing carrier</v>
      </c>
      <c r="G103" s="54"/>
      <c r="H103" s="55">
        <f t="shared" si="6"/>
        <v>10.729011119999999</v>
      </c>
      <c r="I103" s="390">
        <f>'EN 09003'!N2</f>
        <v>2</v>
      </c>
      <c r="J103" s="55">
        <f>'EN 09003'!N11</f>
        <v>6.20501112</v>
      </c>
      <c r="K103" s="55">
        <f>'EN 09003'!I18</f>
        <v>4.524</v>
      </c>
      <c r="L103" s="55">
        <v>0</v>
      </c>
      <c r="M103" s="55">
        <v>0</v>
      </c>
      <c r="N103" s="55">
        <f t="shared" si="5"/>
        <v>21.458022239999998</v>
      </c>
      <c r="O103" s="56"/>
    </row>
    <row r="104" spans="1:15" ht="13.8" x14ac:dyDescent="0.25">
      <c r="A104" s="51">
        <v>98</v>
      </c>
      <c r="B104" s="52" t="s">
        <v>9</v>
      </c>
      <c r="C104" s="63" t="s">
        <v>169</v>
      </c>
      <c r="D104" s="54" t="s">
        <v>36</v>
      </c>
      <c r="E104" s="52" t="s">
        <v>163</v>
      </c>
      <c r="F104" s="52" t="str">
        <f>'EN 09004'!B4</f>
        <v>Tie rod support</v>
      </c>
      <c r="G104" s="54"/>
      <c r="H104" s="55">
        <f t="shared" si="6"/>
        <v>1.883575295</v>
      </c>
      <c r="I104" s="390">
        <f>'EN 09004'!N2</f>
        <v>4</v>
      </c>
      <c r="J104" s="55">
        <f>'EN 09004'!N11</f>
        <v>0.210575295</v>
      </c>
      <c r="K104" s="55">
        <f>'EN 09004'!I16</f>
        <v>1.673</v>
      </c>
      <c r="L104" s="55">
        <v>0</v>
      </c>
      <c r="M104" s="55">
        <v>0</v>
      </c>
      <c r="N104" s="55">
        <f t="shared" si="5"/>
        <v>7.5343011799999999</v>
      </c>
      <c r="O104" s="56"/>
    </row>
    <row r="105" spans="1:15" ht="13.8" x14ac:dyDescent="0.25">
      <c r="A105" s="51">
        <v>99</v>
      </c>
      <c r="B105" s="52" t="s">
        <v>9</v>
      </c>
      <c r="C105" s="63" t="s">
        <v>170</v>
      </c>
      <c r="D105" s="54" t="s">
        <v>36</v>
      </c>
      <c r="E105" s="62" t="s">
        <v>163</v>
      </c>
      <c r="F105" s="52" t="str">
        <f>'EN 09005'!B4</f>
        <v>Bearing carrier tab</v>
      </c>
      <c r="G105" s="54"/>
      <c r="H105" s="55">
        <f t="shared" si="6"/>
        <v>0.92447507499999992</v>
      </c>
      <c r="I105" s="390">
        <f>'EN 09005'!N2</f>
        <v>4</v>
      </c>
      <c r="J105" s="55">
        <f>'EN 09005'!N11</f>
        <v>0.12547507500000002</v>
      </c>
      <c r="K105" s="55">
        <f>'EN 09005'!I16</f>
        <v>0.79899999999999993</v>
      </c>
      <c r="L105" s="55">
        <v>0</v>
      </c>
      <c r="M105" s="55">
        <v>0</v>
      </c>
      <c r="N105" s="55">
        <f t="shared" si="5"/>
        <v>3.6979002999999997</v>
      </c>
      <c r="O105" s="56"/>
    </row>
    <row r="106" spans="1:15" ht="13.8" x14ac:dyDescent="0.25">
      <c r="A106" s="43">
        <v>100</v>
      </c>
      <c r="B106" s="44" t="s">
        <v>9</v>
      </c>
      <c r="C106" s="45" t="s">
        <v>171</v>
      </c>
      <c r="D106" s="45" t="s">
        <v>36</v>
      </c>
      <c r="E106" s="44"/>
      <c r="F106" s="44" t="s">
        <v>172</v>
      </c>
      <c r="G106" s="45"/>
      <c r="H106" s="46">
        <f t="shared" si="6"/>
        <v>232.3</v>
      </c>
      <c r="I106" s="960">
        <f>'EN A0010'!N2</f>
        <v>1</v>
      </c>
      <c r="J106" s="46">
        <f>'EN A0010'!N18</f>
        <v>200</v>
      </c>
      <c r="K106" s="46">
        <f>'EN A0010'!I34</f>
        <v>15.920000000000002</v>
      </c>
      <c r="L106" s="46">
        <f>'EN A0010'!J42</f>
        <v>16.38</v>
      </c>
      <c r="M106" s="46">
        <v>0</v>
      </c>
      <c r="N106" s="46">
        <f t="shared" si="5"/>
        <v>232.3</v>
      </c>
      <c r="O106" s="50"/>
    </row>
    <row r="107" spans="1:15" ht="13.8" x14ac:dyDescent="0.25">
      <c r="A107" s="51">
        <v>101</v>
      </c>
      <c r="B107" s="52" t="s">
        <v>9</v>
      </c>
      <c r="C107" s="63" t="s">
        <v>173</v>
      </c>
      <c r="D107" s="54" t="s">
        <v>36</v>
      </c>
      <c r="E107" s="52" t="s">
        <v>172</v>
      </c>
      <c r="F107" s="52" t="str">
        <f>'EN 10001'!B4</f>
        <v>Inboard tripod housing</v>
      </c>
      <c r="G107" s="54"/>
      <c r="H107" s="55">
        <f t="shared" si="6"/>
        <v>67.721670109364652</v>
      </c>
      <c r="I107" s="390">
        <f>'EN 10001'!N2</f>
        <v>2</v>
      </c>
      <c r="J107" s="55">
        <f>'EN 10001'!N11</f>
        <v>9.5342638848450409</v>
      </c>
      <c r="K107" s="55">
        <f>'EN 10001'!I18</f>
        <v>58.187406224519613</v>
      </c>
      <c r="L107" s="55">
        <v>0</v>
      </c>
      <c r="M107" s="55">
        <v>0</v>
      </c>
      <c r="N107" s="55">
        <f t="shared" si="5"/>
        <v>135.4433402187293</v>
      </c>
      <c r="O107" s="56"/>
    </row>
    <row r="108" spans="1:15" ht="13.8" x14ac:dyDescent="0.25">
      <c r="A108" s="51">
        <v>102</v>
      </c>
      <c r="B108" s="52" t="s">
        <v>9</v>
      </c>
      <c r="C108" s="63" t="s">
        <v>174</v>
      </c>
      <c r="D108" s="54" t="s">
        <v>36</v>
      </c>
      <c r="E108" s="52" t="s">
        <v>172</v>
      </c>
      <c r="F108" s="52" t="str">
        <f>'EN 10002'!B4</f>
        <v>Outboard tripod housing</v>
      </c>
      <c r="G108" s="54"/>
      <c r="H108" s="55">
        <f t="shared" si="6"/>
        <v>59.565811811695127</v>
      </c>
      <c r="I108" s="390">
        <f>'EN 10002'!N2</f>
        <v>2</v>
      </c>
      <c r="J108" s="55">
        <f>'EN 10002'!N11</f>
        <v>8.0160689987232185</v>
      </c>
      <c r="K108" s="55">
        <f>'EN 10002'!I20</f>
        <v>51.549742812971907</v>
      </c>
      <c r="L108" s="55">
        <v>0</v>
      </c>
      <c r="M108" s="55">
        <v>0</v>
      </c>
      <c r="N108" s="55">
        <f t="shared" si="5"/>
        <v>119.13162362339025</v>
      </c>
      <c r="O108" s="56"/>
    </row>
    <row r="109" spans="1:15" ht="13.8" x14ac:dyDescent="0.25">
      <c r="A109" s="51">
        <v>103</v>
      </c>
      <c r="B109" s="52" t="s">
        <v>9</v>
      </c>
      <c r="C109" s="63" t="s">
        <v>175</v>
      </c>
      <c r="D109" s="54" t="s">
        <v>36</v>
      </c>
      <c r="E109" s="52" t="s">
        <v>172</v>
      </c>
      <c r="F109" s="52" t="str">
        <f>'EN 10003'!B4</f>
        <v>Right axle</v>
      </c>
      <c r="G109" s="54"/>
      <c r="H109" s="55">
        <f t="shared" si="6"/>
        <v>20.859922268656938</v>
      </c>
      <c r="I109" s="390">
        <f>'EN 10003'!N2</f>
        <v>1</v>
      </c>
      <c r="J109" s="55">
        <f>'EN 10003'!N11</f>
        <v>3.3428066365039735</v>
      </c>
      <c r="K109" s="55">
        <f>'EN 10003'!I18</f>
        <v>17.517115632152965</v>
      </c>
      <c r="L109" s="55">
        <v>0</v>
      </c>
      <c r="M109" s="55">
        <v>0</v>
      </c>
      <c r="N109" s="55">
        <f t="shared" si="5"/>
        <v>20.859922268656938</v>
      </c>
      <c r="O109" s="56"/>
    </row>
    <row r="110" spans="1:15" ht="13.8" x14ac:dyDescent="0.25">
      <c r="A110" s="51">
        <v>104</v>
      </c>
      <c r="B110" s="52" t="s">
        <v>9</v>
      </c>
      <c r="C110" s="63" t="s">
        <v>176</v>
      </c>
      <c r="D110" s="54" t="s">
        <v>36</v>
      </c>
      <c r="E110" s="52" t="s">
        <v>172</v>
      </c>
      <c r="F110" s="52" t="str">
        <f>'EN 10004'!B4</f>
        <v>Left axle</v>
      </c>
      <c r="G110" s="54"/>
      <c r="H110" s="55">
        <f t="shared" si="6"/>
        <v>20.70288272879527</v>
      </c>
      <c r="I110" s="390">
        <f>'EN 10004'!N2</f>
        <v>1</v>
      </c>
      <c r="J110" s="55">
        <f>'EN 10004'!N11</f>
        <v>3.3020407019124618</v>
      </c>
      <c r="K110" s="55">
        <f>'EN 10004'!I18</f>
        <v>17.40084202688281</v>
      </c>
      <c r="L110" s="55">
        <v>0</v>
      </c>
      <c r="M110" s="55">
        <v>0</v>
      </c>
      <c r="N110" s="55">
        <f t="shared" si="5"/>
        <v>20.70288272879527</v>
      </c>
      <c r="O110" s="56"/>
    </row>
    <row r="111" spans="1:15" ht="13.8" x14ac:dyDescent="0.25">
      <c r="A111" s="43">
        <v>105</v>
      </c>
      <c r="B111" s="44" t="s">
        <v>9</v>
      </c>
      <c r="C111" s="45" t="s">
        <v>177</v>
      </c>
      <c r="D111" s="45" t="s">
        <v>36</v>
      </c>
      <c r="E111" s="44"/>
      <c r="F111" s="44" t="s">
        <v>2935</v>
      </c>
      <c r="G111" s="45"/>
      <c r="H111" s="46">
        <f t="shared" si="6"/>
        <v>14.697271666666664</v>
      </c>
      <c r="I111" s="960">
        <f>'EN A0011'!N2</f>
        <v>2</v>
      </c>
      <c r="J111" s="46">
        <f>'EN A0011'!N17</f>
        <v>5</v>
      </c>
      <c r="K111" s="46">
        <f>'EN A0011'!I32</f>
        <v>8.5106049999999982</v>
      </c>
      <c r="L111" s="46">
        <f>'EN A0011'!J38</f>
        <v>0.52</v>
      </c>
      <c r="M111" s="46">
        <f>'EN A0011'!I42</f>
        <v>0.66666666666666663</v>
      </c>
      <c r="N111" s="46">
        <f t="shared" si="5"/>
        <v>29.394543333333328</v>
      </c>
      <c r="O111" s="50"/>
    </row>
    <row r="112" spans="1:15" ht="13.8" x14ac:dyDescent="0.25">
      <c r="A112" s="51">
        <v>106</v>
      </c>
      <c r="B112" s="52" t="s">
        <v>9</v>
      </c>
      <c r="C112" s="63" t="s">
        <v>178</v>
      </c>
      <c r="D112" s="54" t="s">
        <v>36</v>
      </c>
      <c r="E112" s="52" t="s">
        <v>2935</v>
      </c>
      <c r="F112" s="52" t="str">
        <f>'EN 11001'!B4</f>
        <v>Tie rod tab</v>
      </c>
      <c r="G112" s="54"/>
      <c r="H112" s="55">
        <f t="shared" si="6"/>
        <v>0.92447507499999992</v>
      </c>
      <c r="I112" s="390">
        <f>'EN 11001'!N2</f>
        <v>4</v>
      </c>
      <c r="J112" s="55">
        <f>'EN 11001'!N11</f>
        <v>0.12547507500000002</v>
      </c>
      <c r="K112" s="55">
        <f>'EN 11001'!I16</f>
        <v>0.79899999999999993</v>
      </c>
      <c r="L112" s="55">
        <v>0</v>
      </c>
      <c r="M112" s="55">
        <v>0</v>
      </c>
      <c r="N112" s="55">
        <f t="shared" si="5"/>
        <v>3.6979002999999997</v>
      </c>
      <c r="O112" s="56"/>
    </row>
    <row r="113" spans="1:15" ht="13.8" x14ac:dyDescent="0.25">
      <c r="A113" s="51">
        <v>107</v>
      </c>
      <c r="B113" s="52" t="s">
        <v>9</v>
      </c>
      <c r="C113" s="63" t="s">
        <v>179</v>
      </c>
      <c r="D113" s="54" t="s">
        <v>36</v>
      </c>
      <c r="E113" s="52" t="s">
        <v>2935</v>
      </c>
      <c r="F113" s="52" t="str">
        <f>'EN 11002'!B4</f>
        <v>Threaded tube</v>
      </c>
      <c r="G113" s="54"/>
      <c r="H113" s="55">
        <f t="shared" si="6"/>
        <v>2.4357939860159226</v>
      </c>
      <c r="I113" s="390">
        <f>'EN 11002'!N2</f>
        <v>2</v>
      </c>
      <c r="J113" s="55">
        <f>'EN 11002'!N11</f>
        <v>0.1685939860159229</v>
      </c>
      <c r="K113" s="55">
        <f>'EN 11002'!I17</f>
        <v>2.2671999999999999</v>
      </c>
      <c r="L113" s="55">
        <v>0</v>
      </c>
      <c r="M113" s="55">
        <v>0</v>
      </c>
      <c r="N113" s="55">
        <f t="shared" si="5"/>
        <v>4.8715879720318451</v>
      </c>
      <c r="O113" s="56"/>
    </row>
    <row r="114" spans="1:15" ht="13.8" x14ac:dyDescent="0.25">
      <c r="A114" s="51">
        <v>108</v>
      </c>
      <c r="B114" s="52" t="s">
        <v>9</v>
      </c>
      <c r="C114" s="63" t="s">
        <v>180</v>
      </c>
      <c r="D114" s="54" t="s">
        <v>36</v>
      </c>
      <c r="E114" s="52" t="s">
        <v>2935</v>
      </c>
      <c r="F114" s="52" t="str">
        <f>'EN 11003'!B4</f>
        <v>Tie rod spacer</v>
      </c>
      <c r="G114" s="54"/>
      <c r="H114" s="55">
        <f t="shared" si="6"/>
        <v>0.23635456454989542</v>
      </c>
      <c r="I114" s="390">
        <f>'EN 11003'!N2</f>
        <v>8</v>
      </c>
      <c r="J114" s="55">
        <f>'EN 11003'!N11</f>
        <v>2.1454564549895413E-2</v>
      </c>
      <c r="K114" s="55">
        <f>'EN 11003'!I16</f>
        <v>0.21490000000000001</v>
      </c>
      <c r="L114" s="55">
        <v>0</v>
      </c>
      <c r="M114" s="55">
        <v>0</v>
      </c>
      <c r="N114" s="55">
        <f t="shared" si="5"/>
        <v>1.8908365163991634</v>
      </c>
      <c r="O114" s="56"/>
    </row>
    <row r="115" spans="1:15" ht="13.8" x14ac:dyDescent="0.25">
      <c r="A115" s="43">
        <v>109</v>
      </c>
      <c r="B115" s="44" t="s">
        <v>9</v>
      </c>
      <c r="C115" s="45" t="s">
        <v>181</v>
      </c>
      <c r="D115" s="45" t="s">
        <v>36</v>
      </c>
      <c r="E115" s="44"/>
      <c r="F115" s="44" t="s">
        <v>184</v>
      </c>
      <c r="G115" s="45"/>
      <c r="H115" s="46">
        <f t="shared" si="6"/>
        <v>80.106666666666683</v>
      </c>
      <c r="I115" s="960">
        <f>'EN A0012'!N2</f>
        <v>1</v>
      </c>
      <c r="J115" s="46">
        <f>'EN A0012'!N19</f>
        <v>55.6</v>
      </c>
      <c r="K115" s="46">
        <f>'EN A0012'!I39</f>
        <v>19.11</v>
      </c>
      <c r="L115" s="46">
        <f>'EN A0012'!J53</f>
        <v>4.7300000000000004</v>
      </c>
      <c r="M115" s="46">
        <f>'EN A0012'!I57</f>
        <v>0.66666666666666663</v>
      </c>
      <c r="N115" s="46">
        <f t="shared" si="5"/>
        <v>80.106666666666683</v>
      </c>
      <c r="O115" s="50"/>
    </row>
    <row r="116" spans="1:15" ht="13.8" x14ac:dyDescent="0.25">
      <c r="A116" s="51">
        <v>110</v>
      </c>
      <c r="B116" s="52" t="s">
        <v>9</v>
      </c>
      <c r="C116" s="63" t="s">
        <v>182</v>
      </c>
      <c r="D116" s="54" t="s">
        <v>36</v>
      </c>
      <c r="E116" s="54" t="s">
        <v>184</v>
      </c>
      <c r="F116" s="52" t="str">
        <f>'EN 12001'!B4</f>
        <v>Front sprocket</v>
      </c>
      <c r="G116" s="54"/>
      <c r="H116" s="55">
        <f t="shared" si="6"/>
        <v>16.135104441932832</v>
      </c>
      <c r="I116" s="390">
        <f>'EN 12001'!N2</f>
        <v>1</v>
      </c>
      <c r="J116" s="55">
        <f>'EN 12001'!N11</f>
        <v>2.363566433703534</v>
      </c>
      <c r="K116" s="55">
        <f>'EN 12001'!I18</f>
        <v>13.771538008229296</v>
      </c>
      <c r="L116" s="55">
        <v>0</v>
      </c>
      <c r="M116" s="55">
        <v>0</v>
      </c>
      <c r="N116" s="55">
        <f t="shared" si="5"/>
        <v>16.135104441932832</v>
      </c>
      <c r="O116" s="56"/>
    </row>
    <row r="117" spans="1:15" ht="13.8" x14ac:dyDescent="0.25">
      <c r="A117" s="51">
        <v>111</v>
      </c>
      <c r="B117" s="52" t="s">
        <v>9</v>
      </c>
      <c r="C117" s="63" t="s">
        <v>183</v>
      </c>
      <c r="D117" s="54" t="s">
        <v>36</v>
      </c>
      <c r="E117" s="54" t="s">
        <v>184</v>
      </c>
      <c r="F117" s="52" t="str">
        <f>'EN 12002'!B4</f>
        <v>Rear sprocket</v>
      </c>
      <c r="G117" s="54"/>
      <c r="H117" s="55">
        <f t="shared" si="6"/>
        <v>16.873171866326508</v>
      </c>
      <c r="I117" s="390">
        <f>'EN 12002'!N2</f>
        <v>1</v>
      </c>
      <c r="J117" s="55">
        <f>'EN 12002'!N11</f>
        <v>4.2560492425855028</v>
      </c>
      <c r="K117" s="55">
        <f>'EN 12002'!I16</f>
        <v>12.617122623741006</v>
      </c>
      <c r="L117" s="55">
        <v>0</v>
      </c>
      <c r="M117" s="55">
        <v>0</v>
      </c>
      <c r="N117" s="55">
        <f t="shared" si="5"/>
        <v>16.873171866326508</v>
      </c>
      <c r="O117" s="56"/>
    </row>
    <row r="118" spans="1:15" ht="13.8" x14ac:dyDescent="0.25">
      <c r="A118" s="51">
        <v>112</v>
      </c>
      <c r="B118" s="52" t="s">
        <v>9</v>
      </c>
      <c r="C118" s="63" t="s">
        <v>1413</v>
      </c>
      <c r="D118" s="54" t="s">
        <v>36</v>
      </c>
      <c r="E118" s="54" t="s">
        <v>184</v>
      </c>
      <c r="F118" s="52" t="str">
        <f>'EN 12003'!B4</f>
        <v>Rear sprocket adapter</v>
      </c>
      <c r="G118" s="54"/>
      <c r="H118" s="55">
        <f>SUM(J118:M118)</f>
        <v>45.118166597010031</v>
      </c>
      <c r="I118" s="390">
        <f>'EN 12003'!N2</f>
        <v>1</v>
      </c>
      <c r="J118" s="55">
        <f>'EN 12003'!N11</f>
        <v>9.8792637929074036</v>
      </c>
      <c r="K118" s="55">
        <f>'EN 12003'!I21</f>
        <v>35.238902804102629</v>
      </c>
      <c r="L118" s="55">
        <v>0</v>
      </c>
      <c r="M118" s="55">
        <v>0</v>
      </c>
      <c r="N118" s="55">
        <f t="shared" si="5"/>
        <v>45.118166597010031</v>
      </c>
      <c r="O118" s="56"/>
    </row>
    <row r="119" spans="1:15" ht="13.8" x14ac:dyDescent="0.25">
      <c r="A119" s="51">
        <v>113</v>
      </c>
      <c r="B119" s="52" t="s">
        <v>9</v>
      </c>
      <c r="C119" s="63" t="s">
        <v>1414</v>
      </c>
      <c r="D119" s="54" t="s">
        <v>36</v>
      </c>
      <c r="E119" s="54" t="s">
        <v>184</v>
      </c>
      <c r="F119" s="52" t="str">
        <f>'EN 12004'!B4</f>
        <v>Rear sprocket spacer</v>
      </c>
      <c r="G119" s="54"/>
      <c r="H119" s="55">
        <f>SUM(J119:M119)</f>
        <v>0.2999339625947896</v>
      </c>
      <c r="I119" s="390">
        <f>'EN 12004'!N2</f>
        <v>6</v>
      </c>
      <c r="J119" s="55">
        <f>'EN 12004'!N11</f>
        <v>2.6067295928122926E-2</v>
      </c>
      <c r="K119" s="55">
        <f>'EN 12004'!I16</f>
        <v>0.2738666666666667</v>
      </c>
      <c r="L119" s="55">
        <v>0</v>
      </c>
      <c r="M119" s="55">
        <v>0</v>
      </c>
      <c r="N119" s="55">
        <f t="shared" si="5"/>
        <v>1.7996037755687375</v>
      </c>
      <c r="O119" s="56"/>
    </row>
    <row r="120" spans="1:15" ht="13.8" x14ac:dyDescent="0.25">
      <c r="A120" s="51">
        <v>114</v>
      </c>
      <c r="B120" s="52" t="s">
        <v>9</v>
      </c>
      <c r="C120" s="63" t="s">
        <v>1415</v>
      </c>
      <c r="D120" s="54" t="s">
        <v>36</v>
      </c>
      <c r="E120" s="54" t="s">
        <v>184</v>
      </c>
      <c r="F120" s="52" t="str">
        <f>'EN 12005'!B4</f>
        <v>Lower chain shield</v>
      </c>
      <c r="G120" s="54"/>
      <c r="H120" s="55">
        <f>SUM(J120:M120)</f>
        <v>3.6099992500000004</v>
      </c>
      <c r="I120" s="390">
        <f>'EN 12005'!N2</f>
        <v>1</v>
      </c>
      <c r="J120" s="55">
        <f>'EN 12005'!N11</f>
        <v>0.74999925000000012</v>
      </c>
      <c r="K120" s="55">
        <f>'EN 12005'!I16</f>
        <v>2.8600000000000003</v>
      </c>
      <c r="L120" s="55">
        <v>0</v>
      </c>
      <c r="M120" s="55">
        <v>0</v>
      </c>
      <c r="N120" s="55">
        <f t="shared" si="5"/>
        <v>3.6099992500000004</v>
      </c>
      <c r="O120" s="56"/>
    </row>
    <row r="121" spans="1:15" ht="14.4" thickBot="1" x14ac:dyDescent="0.3">
      <c r="A121" s="51">
        <v>115</v>
      </c>
      <c r="B121" s="52" t="s">
        <v>9</v>
      </c>
      <c r="C121" s="63" t="s">
        <v>1417</v>
      </c>
      <c r="D121" s="54" t="s">
        <v>36</v>
      </c>
      <c r="E121" s="54" t="s">
        <v>184</v>
      </c>
      <c r="F121" s="52" t="str">
        <f>'EN 12006'!B4</f>
        <v>Upper chain shield</v>
      </c>
      <c r="G121" s="54"/>
      <c r="H121" s="55">
        <f>SUM(J121:M121)</f>
        <v>8.9764547062499993</v>
      </c>
      <c r="I121" s="390">
        <f>'EN 12006'!N2</f>
        <v>1</v>
      </c>
      <c r="J121" s="55">
        <f>'EN 12006'!N11</f>
        <v>2.1544547062500001</v>
      </c>
      <c r="K121" s="55">
        <f>'EN 12006'!I18</f>
        <v>6.8220000000000001</v>
      </c>
      <c r="L121" s="55">
        <v>0</v>
      </c>
      <c r="M121" s="55">
        <v>0</v>
      </c>
      <c r="N121" s="55">
        <f t="shared" si="5"/>
        <v>8.9764547062499993</v>
      </c>
      <c r="O121" s="56"/>
    </row>
    <row r="122" spans="1:15" s="157" customFormat="1" ht="15" thickTop="1" thickBot="1" x14ac:dyDescent="0.3">
      <c r="A122" s="35">
        <v>116</v>
      </c>
      <c r="B122" s="36" t="s">
        <v>9</v>
      </c>
      <c r="C122" s="64"/>
      <c r="D122" s="64"/>
      <c r="E122" s="64"/>
      <c r="F122" s="36" t="s">
        <v>66</v>
      </c>
      <c r="G122" s="64"/>
      <c r="H122" s="38"/>
      <c r="I122" s="39"/>
      <c r="J122" s="41">
        <f>SUMPRODUCT($I28:$I121,J28:J121)</f>
        <v>2845.5457114508031</v>
      </c>
      <c r="K122" s="41">
        <f>SUMPRODUCT($I28:$I121,K28:K121)</f>
        <v>1338.5525993960514</v>
      </c>
      <c r="L122" s="41">
        <f>SUMPRODUCT($I28:$I121,L28:L121)</f>
        <v>87.854000000000013</v>
      </c>
      <c r="M122" s="41">
        <f>SUMPRODUCT($I28:$I121,M28:M121)</f>
        <v>65.493333333333339</v>
      </c>
      <c r="N122" s="41">
        <f>SUM(N28:N121)</f>
        <v>4337.4456441801858</v>
      </c>
      <c r="O122" s="42"/>
    </row>
    <row r="123" spans="1:15" ht="14.4" thickTop="1" x14ac:dyDescent="0.25">
      <c r="A123" s="65">
        <v>117</v>
      </c>
      <c r="B123" s="66" t="s">
        <v>10</v>
      </c>
      <c r="C123" s="67" t="s">
        <v>185</v>
      </c>
      <c r="D123" s="67" t="s">
        <v>36</v>
      </c>
      <c r="E123" s="67"/>
      <c r="F123" s="66" t="s">
        <v>186</v>
      </c>
      <c r="G123" s="67"/>
      <c r="H123" s="68">
        <f>SUM(J123:M123)</f>
        <v>327.815</v>
      </c>
      <c r="I123" s="961">
        <f>'FR A0001'!N2</f>
        <v>1</v>
      </c>
      <c r="J123" s="68">
        <f>'FR A0001'!N16</f>
        <v>36</v>
      </c>
      <c r="K123" s="68">
        <f>'FR A0001'!I22</f>
        <v>234.815</v>
      </c>
      <c r="L123" s="68">
        <v>0</v>
      </c>
      <c r="M123" s="68">
        <f>'FR A0001'!I26</f>
        <v>57</v>
      </c>
      <c r="N123" s="68">
        <f t="shared" ref="N123:N186" si="7">H123*I123</f>
        <v>327.815</v>
      </c>
      <c r="O123" s="69"/>
    </row>
    <row r="124" spans="1:15" ht="13.8" x14ac:dyDescent="0.25">
      <c r="A124" s="987">
        <v>118</v>
      </c>
      <c r="B124" s="72" t="s">
        <v>10</v>
      </c>
      <c r="C124" s="70" t="s">
        <v>187</v>
      </c>
      <c r="D124" s="73" t="s">
        <v>36</v>
      </c>
      <c r="E124" s="73" t="s">
        <v>186</v>
      </c>
      <c r="F124" s="72" t="str">
        <f>'FR 01001'!B4</f>
        <v>Bent Round Steel Tubing</v>
      </c>
      <c r="G124" s="73"/>
      <c r="H124" s="71">
        <f t="shared" ref="H124:H156" si="8">SUM(J124:M124)</f>
        <v>18.62856</v>
      </c>
      <c r="I124" s="962">
        <f>'FR 01001'!N2</f>
        <v>1</v>
      </c>
      <c r="J124" s="71">
        <f>'FR 01001'!N11</f>
        <v>11.428560000000001</v>
      </c>
      <c r="K124" s="71">
        <f>'FR 01001'!I17</f>
        <v>7.2</v>
      </c>
      <c r="L124" s="71">
        <v>0</v>
      </c>
      <c r="M124" s="71">
        <v>0</v>
      </c>
      <c r="N124" s="71">
        <f t="shared" si="7"/>
        <v>18.62856</v>
      </c>
      <c r="O124" s="988"/>
    </row>
    <row r="125" spans="1:15" ht="13.8" x14ac:dyDescent="0.25">
      <c r="A125" s="987">
        <v>119</v>
      </c>
      <c r="B125" s="72" t="s">
        <v>10</v>
      </c>
      <c r="C125" s="70" t="s">
        <v>189</v>
      </c>
      <c r="D125" s="73" t="s">
        <v>36</v>
      </c>
      <c r="E125" s="73" t="s">
        <v>186</v>
      </c>
      <c r="F125" s="72" t="str">
        <f>'FR 01002'!B4</f>
        <v>Straight Round Steel Tubing</v>
      </c>
      <c r="G125" s="73"/>
      <c r="H125" s="71">
        <f t="shared" si="8"/>
        <v>330.39213305842355</v>
      </c>
      <c r="I125" s="962">
        <f>'FR 01002'!N2</f>
        <v>1</v>
      </c>
      <c r="J125" s="71">
        <f>'FR 01002'!N14</f>
        <v>81.592133058423556</v>
      </c>
      <c r="K125" s="71">
        <f>'FR 01002'!I20</f>
        <v>248.8</v>
      </c>
      <c r="L125" s="71">
        <v>0</v>
      </c>
      <c r="M125" s="71">
        <v>0</v>
      </c>
      <c r="N125" s="71">
        <f t="shared" si="7"/>
        <v>330.39213305842355</v>
      </c>
      <c r="O125" s="988"/>
    </row>
    <row r="126" spans="1:15" ht="13.8" x14ac:dyDescent="0.25">
      <c r="A126" s="987">
        <v>120</v>
      </c>
      <c r="B126" s="72" t="s">
        <v>10</v>
      </c>
      <c r="C126" s="70" t="s">
        <v>191</v>
      </c>
      <c r="D126" s="73" t="s">
        <v>36</v>
      </c>
      <c r="E126" s="73" t="s">
        <v>186</v>
      </c>
      <c r="F126" s="72" t="str">
        <f>'FR 01003'!B4</f>
        <v>Jaking Point Tab</v>
      </c>
      <c r="G126" s="73"/>
      <c r="H126" s="71">
        <f t="shared" si="8"/>
        <v>2.6581195000000002</v>
      </c>
      <c r="I126" s="962">
        <f>'FR 01003'!N2</f>
        <v>2</v>
      </c>
      <c r="J126" s="71">
        <f>'FR 01003'!N11</f>
        <v>0.1911195</v>
      </c>
      <c r="K126" s="71">
        <f>'FR 01003'!I16</f>
        <v>2.4670000000000001</v>
      </c>
      <c r="L126" s="71">
        <v>0</v>
      </c>
      <c r="M126" s="71">
        <v>0</v>
      </c>
      <c r="N126" s="71">
        <f t="shared" si="7"/>
        <v>5.3162390000000004</v>
      </c>
      <c r="O126" s="988"/>
    </row>
    <row r="127" spans="1:15" ht="13.8" x14ac:dyDescent="0.25">
      <c r="A127" s="65">
        <v>121</v>
      </c>
      <c r="B127" s="66" t="s">
        <v>10</v>
      </c>
      <c r="C127" s="67" t="s">
        <v>193</v>
      </c>
      <c r="D127" s="67" t="s">
        <v>36</v>
      </c>
      <c r="E127" s="67"/>
      <c r="F127" s="66" t="s">
        <v>194</v>
      </c>
      <c r="G127" s="67"/>
      <c r="H127" s="68">
        <f t="shared" si="8"/>
        <v>32.399833333333333</v>
      </c>
      <c r="I127" s="963">
        <f>'FR A0002'!N2</f>
        <v>1</v>
      </c>
      <c r="J127" s="68">
        <f>'FR A0002'!I19</f>
        <v>28.846499999999999</v>
      </c>
      <c r="K127" s="68">
        <f>'FR A0002'!J25</f>
        <v>2.2199999999999998</v>
      </c>
      <c r="L127" s="68">
        <v>0</v>
      </c>
      <c r="M127" s="68">
        <f>'FR A0002'!I29</f>
        <v>1.3333333333333333</v>
      </c>
      <c r="N127" s="68">
        <f t="shared" si="7"/>
        <v>32.399833333333333</v>
      </c>
      <c r="O127" s="69"/>
    </row>
    <row r="128" spans="1:15" ht="13.8" x14ac:dyDescent="0.25">
      <c r="A128" s="987">
        <v>122</v>
      </c>
      <c r="B128" s="72" t="s">
        <v>10</v>
      </c>
      <c r="C128" s="70" t="s">
        <v>195</v>
      </c>
      <c r="D128" s="73" t="s">
        <v>36</v>
      </c>
      <c r="E128" s="73" t="s">
        <v>194</v>
      </c>
      <c r="F128" s="72" t="str">
        <f>'FR 02001'!B4</f>
        <v>FSAE Impact Attenuator Type 14</v>
      </c>
      <c r="G128" s="73"/>
      <c r="H128" s="71">
        <f t="shared" si="8"/>
        <v>45.5762249</v>
      </c>
      <c r="I128" s="962">
        <f>'FR 02001'!N2</f>
        <v>1</v>
      </c>
      <c r="J128" s="71">
        <f>'FR 02001'!N14</f>
        <v>12.772224899999999</v>
      </c>
      <c r="K128" s="71">
        <f>'FR 02001'!I25</f>
        <v>32.804000000000002</v>
      </c>
      <c r="L128" s="71">
        <v>0</v>
      </c>
      <c r="M128" s="71">
        <v>0</v>
      </c>
      <c r="N128" s="71">
        <f t="shared" si="7"/>
        <v>45.5762249</v>
      </c>
      <c r="O128" s="988"/>
    </row>
    <row r="129" spans="1:15" ht="13.8" x14ac:dyDescent="0.25">
      <c r="A129" s="987">
        <v>123</v>
      </c>
      <c r="B129" s="72" t="s">
        <v>10</v>
      </c>
      <c r="C129" s="70" t="s">
        <v>197</v>
      </c>
      <c r="D129" s="73" t="s">
        <v>36</v>
      </c>
      <c r="E129" s="73" t="s">
        <v>194</v>
      </c>
      <c r="F129" s="72" t="str">
        <f>'FR 02002'!B4</f>
        <v>Anti intrusion plate</v>
      </c>
      <c r="G129" s="73"/>
      <c r="H129" s="71">
        <f t="shared" si="8"/>
        <v>7.2867739999999994</v>
      </c>
      <c r="I129" s="962">
        <f>'FR 02002'!N2</f>
        <v>1</v>
      </c>
      <c r="J129" s="71">
        <f>'FR 02002'!N12</f>
        <v>3.9201939999999995</v>
      </c>
      <c r="K129" s="71">
        <f>'FR 02002'!I17</f>
        <v>3.3665799999999999</v>
      </c>
      <c r="L129" s="71">
        <v>0</v>
      </c>
      <c r="M129" s="71">
        <v>0</v>
      </c>
      <c r="N129" s="71">
        <f t="shared" si="7"/>
        <v>7.2867739999999994</v>
      </c>
      <c r="O129" s="988"/>
    </row>
    <row r="130" spans="1:15" ht="13.8" x14ac:dyDescent="0.25">
      <c r="A130" s="65">
        <v>124</v>
      </c>
      <c r="B130" s="66" t="s">
        <v>10</v>
      </c>
      <c r="C130" s="67" t="s">
        <v>199</v>
      </c>
      <c r="D130" s="67" t="s">
        <v>36</v>
      </c>
      <c r="E130" s="67"/>
      <c r="F130" s="66" t="s">
        <v>200</v>
      </c>
      <c r="G130" s="67"/>
      <c r="H130" s="68">
        <f t="shared" si="8"/>
        <v>30.551250000000003</v>
      </c>
      <c r="I130" s="963">
        <f>'FR A0003'!N2</f>
        <v>1</v>
      </c>
      <c r="J130" s="68">
        <v>0</v>
      </c>
      <c r="K130" s="68">
        <f>'FR A0003'!I24</f>
        <v>19.381250000000001</v>
      </c>
      <c r="L130" s="68">
        <f>'FR A0003'!J28</f>
        <v>1.17</v>
      </c>
      <c r="M130" s="68">
        <f>'FR A0003'!I32</f>
        <v>10</v>
      </c>
      <c r="N130" s="68">
        <f t="shared" si="7"/>
        <v>30.551250000000003</v>
      </c>
      <c r="O130" s="69"/>
    </row>
    <row r="131" spans="1:15" ht="13.8" x14ac:dyDescent="0.25">
      <c r="A131" s="987">
        <v>125</v>
      </c>
      <c r="B131" s="72" t="s">
        <v>10</v>
      </c>
      <c r="C131" s="70" t="s">
        <v>201</v>
      </c>
      <c r="D131" s="73" t="s">
        <v>36</v>
      </c>
      <c r="E131" s="73" t="s">
        <v>200</v>
      </c>
      <c r="F131" s="72" t="str">
        <f>'FR 03001'!B4</f>
        <v>Front Floor Pan</v>
      </c>
      <c r="G131" s="73"/>
      <c r="H131" s="71">
        <f t="shared" si="8"/>
        <v>14.33815444</v>
      </c>
      <c r="I131" s="962">
        <f>'FR 03001'!N2</f>
        <v>1</v>
      </c>
      <c r="J131" s="71">
        <f>'FR 03001'!N11</f>
        <v>4.0681544400000007</v>
      </c>
      <c r="K131" s="71">
        <f>'FR 03001'!I17</f>
        <v>10.27</v>
      </c>
      <c r="L131" s="71">
        <v>0</v>
      </c>
      <c r="M131" s="71">
        <v>0</v>
      </c>
      <c r="N131" s="71">
        <f t="shared" si="7"/>
        <v>14.33815444</v>
      </c>
      <c r="O131" s="988"/>
    </row>
    <row r="132" spans="1:15" ht="13.8" x14ac:dyDescent="0.25">
      <c r="A132" s="987">
        <v>126</v>
      </c>
      <c r="B132" s="72" t="s">
        <v>10</v>
      </c>
      <c r="C132" s="70" t="s">
        <v>203</v>
      </c>
      <c r="D132" s="73" t="s">
        <v>36</v>
      </c>
      <c r="E132" s="73" t="s">
        <v>200</v>
      </c>
      <c r="F132" s="72" t="str">
        <f>'FR 03002'!B4</f>
        <v>Middle Floor Pan</v>
      </c>
      <c r="G132" s="73"/>
      <c r="H132" s="71">
        <f t="shared" si="8"/>
        <v>16.434161792000001</v>
      </c>
      <c r="I132" s="962">
        <f>'FR 03002'!N2</f>
        <v>1</v>
      </c>
      <c r="J132" s="71">
        <f>'FR 03002'!N11</f>
        <v>5.2841617920000008</v>
      </c>
      <c r="K132" s="71">
        <f>'FR 03002'!I18</f>
        <v>11.15</v>
      </c>
      <c r="L132" s="71">
        <v>0</v>
      </c>
      <c r="M132" s="71">
        <v>0</v>
      </c>
      <c r="N132" s="71">
        <f t="shared" si="7"/>
        <v>16.434161792000001</v>
      </c>
      <c r="O132" s="988"/>
    </row>
    <row r="133" spans="1:15" ht="13.8" x14ac:dyDescent="0.25">
      <c r="A133" s="987">
        <v>127</v>
      </c>
      <c r="B133" s="72" t="s">
        <v>10</v>
      </c>
      <c r="C133" s="70" t="s">
        <v>205</v>
      </c>
      <c r="D133" s="73" t="s">
        <v>36</v>
      </c>
      <c r="E133" s="73" t="s">
        <v>200</v>
      </c>
      <c r="F133" s="72" t="str">
        <f>'FR 03003'!B4</f>
        <v>Floor close-out front tab</v>
      </c>
      <c r="G133" s="73"/>
      <c r="H133" s="71">
        <f t="shared" si="8"/>
        <v>1.7400798</v>
      </c>
      <c r="I133" s="962">
        <f>'FR 03003'!N2</f>
        <v>1</v>
      </c>
      <c r="J133" s="71">
        <f>'FR 03003'!N12</f>
        <v>2.6299800000000005E-2</v>
      </c>
      <c r="K133" s="71">
        <f>'FR 03003'!I19</f>
        <v>1.7137799999999999</v>
      </c>
      <c r="L133" s="71">
        <v>0</v>
      </c>
      <c r="M133" s="71">
        <v>0</v>
      </c>
      <c r="N133" s="71">
        <f t="shared" si="7"/>
        <v>1.7400798</v>
      </c>
      <c r="O133" s="988"/>
    </row>
    <row r="134" spans="1:15" ht="13.8" x14ac:dyDescent="0.25">
      <c r="A134" s="987">
        <v>128</v>
      </c>
      <c r="B134" s="72" t="s">
        <v>10</v>
      </c>
      <c r="C134" s="70" t="s">
        <v>206</v>
      </c>
      <c r="D134" s="73" t="s">
        <v>36</v>
      </c>
      <c r="E134" s="73" t="s">
        <v>200</v>
      </c>
      <c r="F134" s="72" t="str">
        <f>'FR 03004'!B4</f>
        <v>Floor close-out tab 2_20</v>
      </c>
      <c r="G134" s="73"/>
      <c r="H134" s="71">
        <f t="shared" si="8"/>
        <v>1.6695907444444444</v>
      </c>
      <c r="I134" s="962">
        <f>'FR 03004'!N2</f>
        <v>9</v>
      </c>
      <c r="J134" s="71">
        <f>'FR 03004'!N12</f>
        <v>4.8216300000000004E-2</v>
      </c>
      <c r="K134" s="71">
        <f>'FR 03004'!I19</f>
        <v>1.6213744444444445</v>
      </c>
      <c r="L134" s="71">
        <v>0</v>
      </c>
      <c r="M134" s="71">
        <v>0</v>
      </c>
      <c r="N134" s="71">
        <f t="shared" si="7"/>
        <v>15.026316700000001</v>
      </c>
      <c r="O134" s="988"/>
    </row>
    <row r="135" spans="1:15" ht="13.8" x14ac:dyDescent="0.25">
      <c r="A135" s="987">
        <v>129</v>
      </c>
      <c r="B135" s="72" t="s">
        <v>10</v>
      </c>
      <c r="C135" s="70" t="s">
        <v>207</v>
      </c>
      <c r="D135" s="73" t="s">
        <v>36</v>
      </c>
      <c r="E135" s="73" t="s">
        <v>200</v>
      </c>
      <c r="F135" s="72" t="str">
        <f>'FR 03005'!B4</f>
        <v>Floor close-out tab 1_25</v>
      </c>
      <c r="G135" s="73"/>
      <c r="H135" s="71">
        <f t="shared" si="8"/>
        <v>0.73838653333333326</v>
      </c>
      <c r="I135" s="962">
        <f>'FR 03005'!N2</f>
        <v>12</v>
      </c>
      <c r="J135" s="71">
        <f>'FR 03005'!N12</f>
        <v>1.7533200000000002E-2</v>
      </c>
      <c r="K135" s="71">
        <f>'FR 03005'!I19</f>
        <v>0.72085333333333323</v>
      </c>
      <c r="L135" s="71">
        <v>0</v>
      </c>
      <c r="M135" s="71">
        <v>0</v>
      </c>
      <c r="N135" s="71">
        <f t="shared" si="7"/>
        <v>8.8606383999999991</v>
      </c>
      <c r="O135" s="988"/>
    </row>
    <row r="136" spans="1:15" ht="13.8" x14ac:dyDescent="0.25">
      <c r="A136" s="987">
        <v>130</v>
      </c>
      <c r="B136" s="72" t="s">
        <v>10</v>
      </c>
      <c r="C136" s="70" t="s">
        <v>208</v>
      </c>
      <c r="D136" s="73" t="s">
        <v>36</v>
      </c>
      <c r="E136" s="73" t="s">
        <v>200</v>
      </c>
      <c r="F136" s="72" t="str">
        <f>'FR 03006'!B4</f>
        <v>Floor close-out tab 2_30</v>
      </c>
      <c r="G136" s="73"/>
      <c r="H136" s="71">
        <f t="shared" si="8"/>
        <v>2.4226662499999998</v>
      </c>
      <c r="I136" s="962">
        <f>'FR 03006'!N2</f>
        <v>2</v>
      </c>
      <c r="J136" s="71">
        <f>'FR 03006'!N12</f>
        <v>5.479125E-2</v>
      </c>
      <c r="K136" s="71">
        <f>'FR 03006'!I19</f>
        <v>2.3678749999999997</v>
      </c>
      <c r="L136" s="71">
        <v>0</v>
      </c>
      <c r="M136" s="71">
        <v>0</v>
      </c>
      <c r="N136" s="71">
        <f t="shared" si="7"/>
        <v>4.8453324999999996</v>
      </c>
      <c r="O136" s="988"/>
    </row>
    <row r="137" spans="1:15" ht="13.8" x14ac:dyDescent="0.25">
      <c r="A137" s="987">
        <v>131</v>
      </c>
      <c r="B137" s="72" t="s">
        <v>10</v>
      </c>
      <c r="C137" s="70" t="s">
        <v>209</v>
      </c>
      <c r="D137" s="73" t="s">
        <v>36</v>
      </c>
      <c r="E137" s="73" t="s">
        <v>200</v>
      </c>
      <c r="F137" s="72" t="str">
        <f>'FR 03007'!B4</f>
        <v>Floor close-out tab 1_30</v>
      </c>
      <c r="G137" s="73"/>
      <c r="H137" s="71">
        <f t="shared" si="8"/>
        <v>0.85073050666666672</v>
      </c>
      <c r="I137" s="962">
        <f>'FR 03007'!N2</f>
        <v>6</v>
      </c>
      <c r="J137" s="71">
        <f>'FR 03007'!N12</f>
        <v>2.1039840000000001E-2</v>
      </c>
      <c r="K137" s="71">
        <f>'FR 03007'!I19</f>
        <v>0.82969066666666669</v>
      </c>
      <c r="L137" s="71">
        <v>0</v>
      </c>
      <c r="M137" s="71">
        <v>0</v>
      </c>
      <c r="N137" s="71">
        <f t="shared" si="7"/>
        <v>5.1043830400000001</v>
      </c>
      <c r="O137" s="988"/>
    </row>
    <row r="138" spans="1:15" ht="13.8" x14ac:dyDescent="0.25">
      <c r="A138" s="65">
        <v>132</v>
      </c>
      <c r="B138" s="66" t="s">
        <v>10</v>
      </c>
      <c r="C138" s="67" t="s">
        <v>210</v>
      </c>
      <c r="D138" s="67" t="s">
        <v>36</v>
      </c>
      <c r="E138" s="67"/>
      <c r="F138" s="66" t="s">
        <v>211</v>
      </c>
      <c r="G138" s="67"/>
      <c r="H138" s="68">
        <f t="shared" si="8"/>
        <v>67.26366666666668</v>
      </c>
      <c r="I138" s="963">
        <f>'FR A0004'!N2</f>
        <v>1</v>
      </c>
      <c r="J138" s="68">
        <f>'FR A0004'!N41</f>
        <v>6.42</v>
      </c>
      <c r="K138" s="68">
        <f>'FR A0004'!I117</f>
        <v>54.397000000000006</v>
      </c>
      <c r="L138" s="68">
        <f>'FR A0004'!J151</f>
        <v>3.7799999999999994</v>
      </c>
      <c r="M138" s="68">
        <f>'FR A0004'!I155</f>
        <v>2.6666666666666665</v>
      </c>
      <c r="N138" s="68">
        <f t="shared" si="7"/>
        <v>67.26366666666668</v>
      </c>
      <c r="O138" s="69"/>
    </row>
    <row r="139" spans="1:15" ht="13.8" x14ac:dyDescent="0.25">
      <c r="A139" s="987">
        <v>133</v>
      </c>
      <c r="B139" s="72" t="s">
        <v>10</v>
      </c>
      <c r="C139" s="70" t="s">
        <v>212</v>
      </c>
      <c r="D139" s="73" t="s">
        <v>36</v>
      </c>
      <c r="E139" s="73" t="s">
        <v>211</v>
      </c>
      <c r="F139" s="72" t="str">
        <f>'FR 04001'!B4</f>
        <v>Pedal rail</v>
      </c>
      <c r="G139" s="73"/>
      <c r="H139" s="71">
        <f t="shared" si="8"/>
        <v>22.317619999999994</v>
      </c>
      <c r="I139" s="962">
        <f>'FR 04001'!N2</f>
        <v>2</v>
      </c>
      <c r="J139" s="71">
        <f>'FR 04001'!N11</f>
        <v>1.2976199999999998</v>
      </c>
      <c r="K139" s="71">
        <f>'FR 04001'!I17</f>
        <v>21.019999999999996</v>
      </c>
      <c r="L139" s="71">
        <v>0</v>
      </c>
      <c r="M139" s="71">
        <v>0</v>
      </c>
      <c r="N139" s="71">
        <f t="shared" si="7"/>
        <v>44.635239999999989</v>
      </c>
      <c r="O139" s="988"/>
    </row>
    <row r="140" spans="1:15" ht="13.8" x14ac:dyDescent="0.25">
      <c r="A140" s="987">
        <v>134</v>
      </c>
      <c r="B140" s="72" t="s">
        <v>10</v>
      </c>
      <c r="C140" s="70" t="s">
        <v>214</v>
      </c>
      <c r="D140" s="73" t="s">
        <v>36</v>
      </c>
      <c r="E140" s="73" t="s">
        <v>211</v>
      </c>
      <c r="F140" s="72" t="str">
        <f>'FR 04002'!B4</f>
        <v>Pedal bushing</v>
      </c>
      <c r="G140" s="73"/>
      <c r="H140" s="71">
        <f t="shared" si="8"/>
        <v>1.3398700873687632</v>
      </c>
      <c r="I140" s="962">
        <f>'FR 04002'!N2</f>
        <v>4</v>
      </c>
      <c r="J140" s="71">
        <f>'FR 04002'!N11</f>
        <v>1.3270087368763287E-2</v>
      </c>
      <c r="K140" s="71">
        <f>'FR 04002'!I16</f>
        <v>1.3266</v>
      </c>
      <c r="L140" s="71">
        <v>0</v>
      </c>
      <c r="M140" s="71">
        <v>0</v>
      </c>
      <c r="N140" s="71">
        <f t="shared" si="7"/>
        <v>5.3594803494750529</v>
      </c>
      <c r="O140" s="988"/>
    </row>
    <row r="141" spans="1:15" ht="13.8" x14ac:dyDescent="0.25">
      <c r="A141" s="987">
        <v>135</v>
      </c>
      <c r="B141" s="72" t="s">
        <v>10</v>
      </c>
      <c r="C141" s="70" t="s">
        <v>216</v>
      </c>
      <c r="D141" s="73" t="s">
        <v>36</v>
      </c>
      <c r="E141" s="73" t="s">
        <v>211</v>
      </c>
      <c r="F141" s="72" t="str">
        <f>'FR 04003'!B4</f>
        <v>Pedal Base</v>
      </c>
      <c r="G141" s="73"/>
      <c r="H141" s="71">
        <f t="shared" si="8"/>
        <v>44.463471124999998</v>
      </c>
      <c r="I141" s="962">
        <f>'FR 04003'!N2</f>
        <v>1</v>
      </c>
      <c r="J141" s="71">
        <f>'FR 04003'!N11</f>
        <v>5.2634711250000006</v>
      </c>
      <c r="K141" s="71">
        <f>'FR 04003'!I17</f>
        <v>39.199999999999996</v>
      </c>
      <c r="L141" s="71">
        <v>0</v>
      </c>
      <c r="M141" s="71">
        <v>0</v>
      </c>
      <c r="N141" s="71">
        <f t="shared" si="7"/>
        <v>44.463471124999998</v>
      </c>
      <c r="O141" s="988"/>
    </row>
    <row r="142" spans="1:15" ht="13.8" x14ac:dyDescent="0.25">
      <c r="A142" s="987">
        <v>136</v>
      </c>
      <c r="B142" s="72" t="s">
        <v>10</v>
      </c>
      <c r="C142" s="70" t="s">
        <v>218</v>
      </c>
      <c r="D142" s="73" t="s">
        <v>36</v>
      </c>
      <c r="E142" s="73" t="s">
        <v>211</v>
      </c>
      <c r="F142" s="72" t="str">
        <f>'FR 04004'!B4</f>
        <v>Brake Pedal</v>
      </c>
      <c r="G142" s="73"/>
      <c r="H142" s="71">
        <f t="shared" si="8"/>
        <v>14.098567096</v>
      </c>
      <c r="I142" s="962">
        <f>'FR 04004'!N2</f>
        <v>1</v>
      </c>
      <c r="J142" s="71">
        <f>'FR 04004'!N11</f>
        <v>2.8025670960000006</v>
      </c>
      <c r="K142" s="71">
        <f>'FR 04004'!I25</f>
        <v>11.295999999999999</v>
      </c>
      <c r="L142" s="71">
        <v>0</v>
      </c>
      <c r="M142" s="71">
        <v>0</v>
      </c>
      <c r="N142" s="71">
        <f t="shared" si="7"/>
        <v>14.098567096</v>
      </c>
      <c r="O142" s="988"/>
    </row>
    <row r="143" spans="1:15" ht="13.8" x14ac:dyDescent="0.25">
      <c r="A143" s="987">
        <v>137</v>
      </c>
      <c r="B143" s="72" t="s">
        <v>10</v>
      </c>
      <c r="C143" s="70" t="s">
        <v>220</v>
      </c>
      <c r="D143" s="73" t="s">
        <v>36</v>
      </c>
      <c r="E143" s="73" t="s">
        <v>211</v>
      </c>
      <c r="F143" s="72" t="str">
        <f>'FR 04005'!B4</f>
        <v>Brake Pedal Bracket</v>
      </c>
      <c r="G143" s="73"/>
      <c r="H143" s="71">
        <f t="shared" si="8"/>
        <v>10.725190118000002</v>
      </c>
      <c r="I143" s="962">
        <f>'FR 04005'!N2</f>
        <v>1</v>
      </c>
      <c r="J143" s="71">
        <f>'FR 04005'!N11</f>
        <v>1.8011901180000003</v>
      </c>
      <c r="K143" s="71">
        <f>'FR 04005'!I20</f>
        <v>8.9240000000000013</v>
      </c>
      <c r="L143" s="71">
        <v>0</v>
      </c>
      <c r="M143" s="71">
        <v>0</v>
      </c>
      <c r="N143" s="71">
        <f t="shared" si="7"/>
        <v>10.725190118000002</v>
      </c>
      <c r="O143" s="988"/>
    </row>
    <row r="144" spans="1:15" ht="13.8" x14ac:dyDescent="0.25">
      <c r="A144" s="987">
        <v>138</v>
      </c>
      <c r="B144" s="72" t="s">
        <v>10</v>
      </c>
      <c r="C144" s="70" t="s">
        <v>222</v>
      </c>
      <c r="D144" s="73" t="s">
        <v>36</v>
      </c>
      <c r="E144" s="73" t="s">
        <v>211</v>
      </c>
      <c r="F144" s="72" t="str">
        <f>'FR 04006'!B4</f>
        <v>Brake pedal pivot</v>
      </c>
      <c r="G144" s="73"/>
      <c r="H144" s="71">
        <f t="shared" si="8"/>
        <v>2.8165277404792035</v>
      </c>
      <c r="I144" s="962">
        <f>'FR 04006'!N2</f>
        <v>1</v>
      </c>
      <c r="J144" s="71">
        <f>'FR 04006'!N11</f>
        <v>6.6527740479203401E-2</v>
      </c>
      <c r="K144" s="71">
        <f>'FR 04006'!I16</f>
        <v>2.75</v>
      </c>
      <c r="L144" s="71">
        <v>0</v>
      </c>
      <c r="M144" s="71">
        <v>0</v>
      </c>
      <c r="N144" s="71">
        <f t="shared" si="7"/>
        <v>2.8165277404792035</v>
      </c>
      <c r="O144" s="988"/>
    </row>
    <row r="145" spans="1:15" ht="13.8" x14ac:dyDescent="0.25">
      <c r="A145" s="987">
        <v>139</v>
      </c>
      <c r="B145" s="72" t="s">
        <v>10</v>
      </c>
      <c r="C145" s="70" t="s">
        <v>224</v>
      </c>
      <c r="D145" s="73" t="s">
        <v>36</v>
      </c>
      <c r="E145" s="73" t="s">
        <v>211</v>
      </c>
      <c r="F145" s="72" t="str">
        <f>'FR 04007'!B4</f>
        <v>Brake pedal pad</v>
      </c>
      <c r="G145" s="73"/>
      <c r="H145" s="71">
        <f t="shared" si="8"/>
        <v>2.8610709000000001</v>
      </c>
      <c r="I145" s="962">
        <f>'FR 04007'!N2</f>
        <v>1</v>
      </c>
      <c r="J145" s="71">
        <f>'FR 04007'!N11</f>
        <v>0.22707090000000002</v>
      </c>
      <c r="K145" s="71">
        <f>'FR 04007'!I17</f>
        <v>2.6339999999999999</v>
      </c>
      <c r="L145" s="71">
        <v>0</v>
      </c>
      <c r="M145" s="71">
        <v>0</v>
      </c>
      <c r="N145" s="71">
        <f t="shared" si="7"/>
        <v>2.8610709000000001</v>
      </c>
      <c r="O145" s="988"/>
    </row>
    <row r="146" spans="1:15" ht="13.8" x14ac:dyDescent="0.25">
      <c r="A146" s="987">
        <v>140</v>
      </c>
      <c r="B146" s="72" t="s">
        <v>10</v>
      </c>
      <c r="C146" s="70" t="s">
        <v>226</v>
      </c>
      <c r="D146" s="73" t="s">
        <v>36</v>
      </c>
      <c r="E146" s="73" t="s">
        <v>211</v>
      </c>
      <c r="F146" s="72" t="str">
        <f>'FR 04008'!B4</f>
        <v>Throttle Pedal</v>
      </c>
      <c r="G146" s="73"/>
      <c r="H146" s="71">
        <f t="shared" si="8"/>
        <v>14.864669879999999</v>
      </c>
      <c r="I146" s="962">
        <f>'FR 04008'!N2</f>
        <v>1</v>
      </c>
      <c r="J146" s="71">
        <f>'FR 04008'!N11</f>
        <v>2.2802698800000001</v>
      </c>
      <c r="K146" s="71">
        <f>'FR 04008'!I27</f>
        <v>12.474399999999999</v>
      </c>
      <c r="L146" s="71">
        <f>'FR 04008'!J32</f>
        <v>0.11</v>
      </c>
      <c r="M146" s="71">
        <v>0</v>
      </c>
      <c r="N146" s="71">
        <f t="shared" si="7"/>
        <v>14.864669879999999</v>
      </c>
      <c r="O146" s="988"/>
    </row>
    <row r="147" spans="1:15" ht="13.8" x14ac:dyDescent="0.25">
      <c r="A147" s="987">
        <v>141</v>
      </c>
      <c r="B147" s="72" t="s">
        <v>10</v>
      </c>
      <c r="C147" s="70" t="s">
        <v>228</v>
      </c>
      <c r="D147" s="73" t="s">
        <v>36</v>
      </c>
      <c r="E147" s="73" t="s">
        <v>211</v>
      </c>
      <c r="F147" s="72" t="str">
        <f>'FR 04009'!B4</f>
        <v>Throttle Pedal Bracket</v>
      </c>
      <c r="G147" s="73"/>
      <c r="H147" s="71">
        <f t="shared" si="8"/>
        <v>9.3385921920000001</v>
      </c>
      <c r="I147" s="962">
        <f>'FR 04009'!N2</f>
        <v>1</v>
      </c>
      <c r="J147" s="71">
        <f>'FR 04009'!N11</f>
        <v>1.2685921920000003</v>
      </c>
      <c r="K147" s="71">
        <f>'FR 04009'!I26</f>
        <v>7.96</v>
      </c>
      <c r="L147" s="71">
        <f>'FR 04009'!J31</f>
        <v>0.11</v>
      </c>
      <c r="M147" s="71">
        <v>0</v>
      </c>
      <c r="N147" s="71">
        <f t="shared" si="7"/>
        <v>9.3385921920000001</v>
      </c>
      <c r="O147" s="988"/>
    </row>
    <row r="148" spans="1:15" ht="13.8" x14ac:dyDescent="0.25">
      <c r="A148" s="987">
        <v>142</v>
      </c>
      <c r="B148" s="72" t="s">
        <v>10</v>
      </c>
      <c r="C148" s="70" t="s">
        <v>230</v>
      </c>
      <c r="D148" s="73" t="s">
        <v>36</v>
      </c>
      <c r="E148" s="73" t="s">
        <v>211</v>
      </c>
      <c r="F148" s="72" t="str">
        <f>'FR 04010'!B4</f>
        <v>Throttle pedal pivot</v>
      </c>
      <c r="G148" s="73"/>
      <c r="H148" s="71">
        <f t="shared" si="8"/>
        <v>2.8136967727992372</v>
      </c>
      <c r="I148" s="962">
        <f>'FR 04010'!N2</f>
        <v>1</v>
      </c>
      <c r="J148" s="71">
        <f>'FR 04010'!N11</f>
        <v>6.36967727992373E-2</v>
      </c>
      <c r="K148" s="71">
        <f>'FR 04010'!I16</f>
        <v>2.75</v>
      </c>
      <c r="L148" s="71">
        <v>0</v>
      </c>
      <c r="M148" s="71">
        <v>0</v>
      </c>
      <c r="N148" s="71">
        <f t="shared" si="7"/>
        <v>2.8136967727992372</v>
      </c>
      <c r="O148" s="988"/>
    </row>
    <row r="149" spans="1:15" ht="13.8" x14ac:dyDescent="0.25">
      <c r="A149" s="987">
        <v>143</v>
      </c>
      <c r="B149" s="72" t="s">
        <v>10</v>
      </c>
      <c r="C149" s="70" t="s">
        <v>232</v>
      </c>
      <c r="D149" s="73" t="s">
        <v>36</v>
      </c>
      <c r="E149" s="73" t="s">
        <v>211</v>
      </c>
      <c r="F149" s="72" t="str">
        <f>'FR 04011'!B4</f>
        <v>Throttle pedal pad</v>
      </c>
      <c r="G149" s="73"/>
      <c r="H149" s="71">
        <f t="shared" si="8"/>
        <v>2.8610709000000001</v>
      </c>
      <c r="I149" s="962">
        <f>'FR 04011'!N2</f>
        <v>1</v>
      </c>
      <c r="J149" s="71">
        <f>'FR 04011'!N11</f>
        <v>0.22707090000000002</v>
      </c>
      <c r="K149" s="71">
        <f>'FR 04011'!I17</f>
        <v>2.6339999999999999</v>
      </c>
      <c r="L149" s="71">
        <v>0</v>
      </c>
      <c r="M149" s="71">
        <v>0</v>
      </c>
      <c r="N149" s="71">
        <f t="shared" si="7"/>
        <v>2.8610709000000001</v>
      </c>
      <c r="O149" s="988"/>
    </row>
    <row r="150" spans="1:15" ht="13.8" x14ac:dyDescent="0.25">
      <c r="A150" s="987">
        <v>144</v>
      </c>
      <c r="B150" s="72" t="s">
        <v>10</v>
      </c>
      <c r="C150" s="70" t="s">
        <v>234</v>
      </c>
      <c r="D150" s="73" t="s">
        <v>36</v>
      </c>
      <c r="E150" s="73" t="s">
        <v>211</v>
      </c>
      <c r="F150" s="72" t="str">
        <f>'FR 04012'!B4</f>
        <v>Balance bar mount</v>
      </c>
      <c r="G150" s="73"/>
      <c r="H150" s="71">
        <f t="shared" si="8"/>
        <v>10.624564912</v>
      </c>
      <c r="I150" s="962">
        <f>'FR 04012'!N2</f>
        <v>1</v>
      </c>
      <c r="J150" s="71">
        <f>'FR 04012'!N11</f>
        <v>0.74456491199999997</v>
      </c>
      <c r="K150" s="71">
        <f>'FR 04012'!I21</f>
        <v>9.8800000000000008</v>
      </c>
      <c r="L150" s="71">
        <v>0</v>
      </c>
      <c r="M150" s="71">
        <v>0</v>
      </c>
      <c r="N150" s="71">
        <f t="shared" si="7"/>
        <v>10.624564912</v>
      </c>
      <c r="O150" s="988"/>
    </row>
    <row r="151" spans="1:15" ht="13.8" x14ac:dyDescent="0.25">
      <c r="A151" s="987">
        <v>145</v>
      </c>
      <c r="B151" s="72" t="s">
        <v>10</v>
      </c>
      <c r="C151" s="70" t="s">
        <v>235</v>
      </c>
      <c r="D151" s="73" t="s">
        <v>36</v>
      </c>
      <c r="E151" s="73" t="s">
        <v>211</v>
      </c>
      <c r="F151" s="72" t="str">
        <f>'FR 04013'!B4</f>
        <v>Custom master-cylinder clevises</v>
      </c>
      <c r="G151" s="73"/>
      <c r="H151" s="71">
        <f t="shared" si="8"/>
        <v>3.8645500000000004</v>
      </c>
      <c r="I151" s="962">
        <f>'FR 04013'!N2</f>
        <v>2</v>
      </c>
      <c r="J151" s="71">
        <f>'FR 04013'!N11</f>
        <v>0.28455000000000003</v>
      </c>
      <c r="K151" s="71">
        <f>'FR 04013'!I22</f>
        <v>3.5800000000000005</v>
      </c>
      <c r="L151" s="71">
        <v>0</v>
      </c>
      <c r="M151" s="71">
        <v>0</v>
      </c>
      <c r="N151" s="71">
        <f t="shared" si="7"/>
        <v>7.7291000000000007</v>
      </c>
      <c r="O151" s="988"/>
    </row>
    <row r="152" spans="1:15" ht="13.8" x14ac:dyDescent="0.25">
      <c r="A152" s="987">
        <v>146</v>
      </c>
      <c r="B152" s="72" t="s">
        <v>10</v>
      </c>
      <c r="C152" s="70" t="s">
        <v>236</v>
      </c>
      <c r="D152" s="73" t="s">
        <v>36</v>
      </c>
      <c r="E152" s="73" t="s">
        <v>211</v>
      </c>
      <c r="F152" s="72" t="str">
        <f>'FR 04014'!B4</f>
        <v>Master cylinder bar</v>
      </c>
      <c r="G152" s="73"/>
      <c r="H152" s="71">
        <f t="shared" si="8"/>
        <v>2.9895998925801059</v>
      </c>
      <c r="I152" s="962">
        <f>'FR 04014'!N2</f>
        <v>1</v>
      </c>
      <c r="J152" s="71">
        <f>'FR 04014'!N11</f>
        <v>0.19159989258010579</v>
      </c>
      <c r="K152" s="71">
        <f>'FR 04014'!I19</f>
        <v>2.798</v>
      </c>
      <c r="L152" s="71">
        <v>0</v>
      </c>
      <c r="M152" s="71">
        <v>0</v>
      </c>
      <c r="N152" s="71">
        <f t="shared" si="7"/>
        <v>2.9895998925801059</v>
      </c>
      <c r="O152" s="988"/>
    </row>
    <row r="153" spans="1:15" ht="13.8" x14ac:dyDescent="0.25">
      <c r="A153" s="987">
        <v>147</v>
      </c>
      <c r="B153" s="72" t="s">
        <v>10</v>
      </c>
      <c r="C153" s="70" t="s">
        <v>237</v>
      </c>
      <c r="D153" s="73" t="s">
        <v>36</v>
      </c>
      <c r="E153" s="73" t="s">
        <v>211</v>
      </c>
      <c r="F153" s="72" t="str">
        <f>'FR 04015'!B4</f>
        <v>Throttle cable support - left</v>
      </c>
      <c r="G153" s="73"/>
      <c r="H153" s="71">
        <f t="shared" si="8"/>
        <v>2.5317297200000004</v>
      </c>
      <c r="I153" s="962">
        <f>'FR 04015'!N2</f>
        <v>1</v>
      </c>
      <c r="J153" s="71">
        <f>'FR 04015'!N11</f>
        <v>0.19872972000000003</v>
      </c>
      <c r="K153" s="71">
        <f>'FR 04015'!I17</f>
        <v>2.3330000000000002</v>
      </c>
      <c r="L153" s="71">
        <v>0</v>
      </c>
      <c r="M153" s="71">
        <v>0</v>
      </c>
      <c r="N153" s="71">
        <f t="shared" si="7"/>
        <v>2.5317297200000004</v>
      </c>
      <c r="O153" s="988"/>
    </row>
    <row r="154" spans="1:15" ht="13.8" x14ac:dyDescent="0.25">
      <c r="A154" s="987">
        <v>148</v>
      </c>
      <c r="B154" s="72" t="s">
        <v>10</v>
      </c>
      <c r="C154" s="70" t="s">
        <v>238</v>
      </c>
      <c r="D154" s="73" t="s">
        <v>36</v>
      </c>
      <c r="E154" s="73" t="s">
        <v>211</v>
      </c>
      <c r="F154" s="72" t="str">
        <f>'FR 04016'!B4</f>
        <v>Throttle cable support - right</v>
      </c>
      <c r="G154" s="73"/>
      <c r="H154" s="71">
        <f t="shared" si="8"/>
        <v>2.5317297200000004</v>
      </c>
      <c r="I154" s="962">
        <f>'FR 04016'!N2</f>
        <v>1</v>
      </c>
      <c r="J154" s="71">
        <f>'FR 04016'!N11</f>
        <v>0.19872972000000003</v>
      </c>
      <c r="K154" s="71">
        <f>'FR 04016'!I17</f>
        <v>2.3330000000000002</v>
      </c>
      <c r="L154" s="71">
        <v>0</v>
      </c>
      <c r="M154" s="71">
        <v>0</v>
      </c>
      <c r="N154" s="71">
        <f t="shared" si="7"/>
        <v>2.5317297200000004</v>
      </c>
      <c r="O154" s="988"/>
    </row>
    <row r="155" spans="1:15" ht="13.8" x14ac:dyDescent="0.25">
      <c r="A155" s="987">
        <v>149</v>
      </c>
      <c r="B155" s="72" t="s">
        <v>10</v>
      </c>
      <c r="C155" s="70" t="s">
        <v>239</v>
      </c>
      <c r="D155" s="73" t="s">
        <v>36</v>
      </c>
      <c r="E155" s="73" t="s">
        <v>211</v>
      </c>
      <c r="F155" s="72" t="str">
        <f>'FR 04017'!B4</f>
        <v>Throttle cable support - top</v>
      </c>
      <c r="G155" s="73"/>
      <c r="H155" s="71">
        <f t="shared" si="8"/>
        <v>2.1050399800000004</v>
      </c>
      <c r="I155" s="962">
        <f>'FR 04017'!N2</f>
        <v>1</v>
      </c>
      <c r="J155" s="71">
        <f>'FR 04017'!N11</f>
        <v>6.7039980000000013E-2</v>
      </c>
      <c r="K155" s="71">
        <f>'FR 04017'!I17</f>
        <v>2.0380000000000003</v>
      </c>
      <c r="L155" s="71">
        <v>0</v>
      </c>
      <c r="M155" s="71">
        <v>0</v>
      </c>
      <c r="N155" s="71">
        <f t="shared" si="7"/>
        <v>2.1050399800000004</v>
      </c>
      <c r="O155" s="988"/>
    </row>
    <row r="156" spans="1:15" ht="13.8" x14ac:dyDescent="0.25">
      <c r="A156" s="987">
        <v>150</v>
      </c>
      <c r="B156" s="72" t="s">
        <v>10</v>
      </c>
      <c r="C156" s="70" t="s">
        <v>240</v>
      </c>
      <c r="D156" s="73" t="s">
        <v>36</v>
      </c>
      <c r="E156" s="73" t="s">
        <v>211</v>
      </c>
      <c r="F156" s="72" t="str">
        <f>'FR 04018'!B4</f>
        <v>Throttle cable support - bottom</v>
      </c>
      <c r="G156" s="73"/>
      <c r="H156" s="71">
        <f t="shared" si="8"/>
        <v>2.2120150399999998</v>
      </c>
      <c r="I156" s="962">
        <f>'FR 04018'!N2</f>
        <v>1</v>
      </c>
      <c r="J156" s="71">
        <f>'FR 04018'!N11</f>
        <v>0.12201504000000001</v>
      </c>
      <c r="K156" s="71">
        <f>'FR 04018'!I17</f>
        <v>2.09</v>
      </c>
      <c r="L156" s="71">
        <v>0</v>
      </c>
      <c r="M156" s="71">
        <v>0</v>
      </c>
      <c r="N156" s="71">
        <f t="shared" si="7"/>
        <v>2.2120150399999998</v>
      </c>
      <c r="O156" s="988"/>
    </row>
    <row r="157" spans="1:15" ht="13.8" x14ac:dyDescent="0.25">
      <c r="A157" s="987">
        <v>151</v>
      </c>
      <c r="B157" s="72" t="s">
        <v>10</v>
      </c>
      <c r="C157" s="70" t="s">
        <v>241</v>
      </c>
      <c r="D157" s="73" t="s">
        <v>36</v>
      </c>
      <c r="E157" s="73" t="s">
        <v>211</v>
      </c>
      <c r="F157" s="72" t="str">
        <f>'FR 04019'!B4</f>
        <v>Throttle mechanism rocker</v>
      </c>
      <c r="G157" s="73"/>
      <c r="H157" s="71">
        <f>SUM(J157:M157)</f>
        <v>2.7964854999999997</v>
      </c>
      <c r="I157" s="962">
        <f>'FR 04019'!N2</f>
        <v>1</v>
      </c>
      <c r="J157" s="71">
        <f>'FR 04019'!N11</f>
        <v>0.23048549999999998</v>
      </c>
      <c r="K157" s="71">
        <f>'FR 04019'!I19</f>
        <v>2.5659999999999998</v>
      </c>
      <c r="L157" s="71">
        <v>0</v>
      </c>
      <c r="M157" s="71">
        <v>0</v>
      </c>
      <c r="N157" s="71">
        <f t="shared" si="7"/>
        <v>2.7964854999999997</v>
      </c>
      <c r="O157" s="988"/>
    </row>
    <row r="158" spans="1:15" ht="13.8" x14ac:dyDescent="0.25">
      <c r="A158" s="987">
        <v>152</v>
      </c>
      <c r="B158" s="72" t="s">
        <v>10</v>
      </c>
      <c r="C158" s="70" t="s">
        <v>242</v>
      </c>
      <c r="D158" s="73" t="s">
        <v>36</v>
      </c>
      <c r="E158" s="73" t="s">
        <v>211</v>
      </c>
      <c r="F158" s="72" t="str">
        <f>'FR 04020'!B4</f>
        <v>Throttle cable attachment</v>
      </c>
      <c r="G158" s="73"/>
      <c r="H158" s="71">
        <f>SUM(J158:M158)</f>
        <v>2.575152375</v>
      </c>
      <c r="I158" s="962">
        <f>'FR 04020'!N2</f>
        <v>1</v>
      </c>
      <c r="J158" s="71">
        <f>'FR 04020'!N11</f>
        <v>6.4023750000000018E-3</v>
      </c>
      <c r="K158" s="71">
        <f>'FR 04020'!I17</f>
        <v>2.5687500000000001</v>
      </c>
      <c r="L158" s="71">
        <v>0</v>
      </c>
      <c r="M158" s="71">
        <v>0</v>
      </c>
      <c r="N158" s="71">
        <f t="shared" si="7"/>
        <v>2.575152375</v>
      </c>
      <c r="O158" s="988"/>
    </row>
    <row r="159" spans="1:15" ht="13.8" x14ac:dyDescent="0.25">
      <c r="A159" s="987">
        <v>153</v>
      </c>
      <c r="B159" s="72" t="s">
        <v>10</v>
      </c>
      <c r="C159" s="70" t="s">
        <v>243</v>
      </c>
      <c r="D159" s="73" t="s">
        <v>36</v>
      </c>
      <c r="E159" s="73" t="s">
        <v>211</v>
      </c>
      <c r="F159" s="72" t="str">
        <f>'FR 04021'!B4</f>
        <v>Overtravel switch mount</v>
      </c>
      <c r="G159" s="73"/>
      <c r="H159" s="71">
        <f>SUM(J159:M159)</f>
        <v>2.48196628</v>
      </c>
      <c r="I159" s="962">
        <f>'FR 04021'!N2</f>
        <v>1</v>
      </c>
      <c r="J159" s="71">
        <f>'FR 04021'!N11</f>
        <v>0.11996628000000001</v>
      </c>
      <c r="K159" s="71">
        <f>'FR 04021'!I17</f>
        <v>2.3620000000000001</v>
      </c>
      <c r="L159" s="71">
        <v>0</v>
      </c>
      <c r="M159" s="71">
        <v>0</v>
      </c>
      <c r="N159" s="71">
        <f t="shared" si="7"/>
        <v>2.48196628</v>
      </c>
      <c r="O159" s="988"/>
    </row>
    <row r="160" spans="1:15" ht="13.8" x14ac:dyDescent="0.25">
      <c r="A160" s="987">
        <v>154</v>
      </c>
      <c r="B160" s="72" t="s">
        <v>10</v>
      </c>
      <c r="C160" s="70" t="s">
        <v>244</v>
      </c>
      <c r="D160" s="73" t="s">
        <v>36</v>
      </c>
      <c r="E160" s="73" t="s">
        <v>211</v>
      </c>
      <c r="F160" s="72" t="str">
        <f>'FR 04022'!B4</f>
        <v>Plastic spacer</v>
      </c>
      <c r="G160" s="73"/>
      <c r="H160" s="71">
        <f>SUM(J160:M160)</f>
        <v>0.62144999999999995</v>
      </c>
      <c r="I160" s="962">
        <f>'FR 04022'!N2</f>
        <v>2</v>
      </c>
      <c r="J160" s="71">
        <f>'FR 04022'!N11</f>
        <v>2.145E-2</v>
      </c>
      <c r="K160" s="71">
        <f>'FR 04022'!I15</f>
        <v>0.6</v>
      </c>
      <c r="L160" s="71">
        <v>0</v>
      </c>
      <c r="M160" s="71">
        <v>0</v>
      </c>
      <c r="N160" s="71">
        <f t="shared" si="7"/>
        <v>1.2428999999999999</v>
      </c>
      <c r="O160" s="988"/>
    </row>
    <row r="161" spans="1:15" ht="13.8" x14ac:dyDescent="0.25">
      <c r="A161" s="65">
        <v>155</v>
      </c>
      <c r="B161" s="66" t="s">
        <v>10</v>
      </c>
      <c r="C161" s="67" t="s">
        <v>246</v>
      </c>
      <c r="D161" s="67" t="s">
        <v>36</v>
      </c>
      <c r="E161" s="67"/>
      <c r="F161" s="66" t="s">
        <v>247</v>
      </c>
      <c r="G161" s="67"/>
      <c r="H161" s="68">
        <f>SUM(J161:M161)</f>
        <v>41.624833333333335</v>
      </c>
      <c r="I161" s="963">
        <f>'FR A0005'!N2</f>
        <v>1</v>
      </c>
      <c r="J161" s="68">
        <f>'FR A0005'!N23</f>
        <v>26.06</v>
      </c>
      <c r="K161" s="68">
        <f>'FR A0005'!I46</f>
        <v>13.351499999999998</v>
      </c>
      <c r="L161" s="68">
        <f>'FR A0005'!J60</f>
        <v>0.88</v>
      </c>
      <c r="M161" s="68">
        <f>'FR A0005'!I64</f>
        <v>1.3333333333333333</v>
      </c>
      <c r="N161" s="68">
        <f t="shared" si="7"/>
        <v>41.624833333333335</v>
      </c>
      <c r="O161" s="69"/>
    </row>
    <row r="162" spans="1:15" ht="13.8" x14ac:dyDescent="0.25">
      <c r="A162" s="987">
        <v>156</v>
      </c>
      <c r="B162" s="72" t="s">
        <v>10</v>
      </c>
      <c r="C162" s="70" t="s">
        <v>248</v>
      </c>
      <c r="D162" s="73" t="s">
        <v>36</v>
      </c>
      <c r="E162" s="73" t="s">
        <v>247</v>
      </c>
      <c r="F162" s="72" t="str">
        <f>'FR 05001'!B4</f>
        <v>Lever steel mount</v>
      </c>
      <c r="G162" s="73"/>
      <c r="H162" s="71">
        <f t="shared" ref="H162:H199" si="9">SUM(J162:M162)</f>
        <v>5.1108119999999992</v>
      </c>
      <c r="I162" s="962">
        <f>'FR 05001'!N2</f>
        <v>2</v>
      </c>
      <c r="J162" s="71">
        <f>'FR 05001'!N11</f>
        <v>0.26881200000000005</v>
      </c>
      <c r="K162" s="71">
        <f>'FR 05001'!I20</f>
        <v>4.8419999999999996</v>
      </c>
      <c r="L162" s="71">
        <v>0</v>
      </c>
      <c r="M162" s="71">
        <v>0</v>
      </c>
      <c r="N162" s="71">
        <f t="shared" si="7"/>
        <v>10.221623999999998</v>
      </c>
      <c r="O162" s="988"/>
    </row>
    <row r="163" spans="1:15" ht="13.8" x14ac:dyDescent="0.25">
      <c r="A163" s="987">
        <v>157</v>
      </c>
      <c r="B163" s="72" t="s">
        <v>10</v>
      </c>
      <c r="C163" s="70" t="s">
        <v>249</v>
      </c>
      <c r="D163" s="73" t="s">
        <v>36</v>
      </c>
      <c r="E163" s="73" t="s">
        <v>247</v>
      </c>
      <c r="F163" s="72" t="str">
        <f>'FR 05002'!B4</f>
        <v>Lever mount half collar 1</v>
      </c>
      <c r="G163" s="73"/>
      <c r="H163" s="71">
        <f t="shared" si="9"/>
        <v>4.2129414853547136</v>
      </c>
      <c r="I163" s="962">
        <f>'FR 05002'!N2</f>
        <v>1</v>
      </c>
      <c r="J163" s="71">
        <f>'FR 05002'!N12</f>
        <v>0.11470815202138046</v>
      </c>
      <c r="K163" s="71">
        <f>'FR 05002'!I21</f>
        <v>3.7648999999999999</v>
      </c>
      <c r="L163" s="71">
        <v>0</v>
      </c>
      <c r="M163" s="71">
        <f>'FR 05002'!I26</f>
        <v>0.33333333333333331</v>
      </c>
      <c r="N163" s="71">
        <f t="shared" si="7"/>
        <v>4.2129414853547136</v>
      </c>
      <c r="O163" s="988"/>
    </row>
    <row r="164" spans="1:15" ht="13.8" x14ac:dyDescent="0.25">
      <c r="A164" s="987">
        <v>158</v>
      </c>
      <c r="B164" s="72" t="s">
        <v>10</v>
      </c>
      <c r="C164" s="70" t="s">
        <v>250</v>
      </c>
      <c r="D164" s="73" t="s">
        <v>36</v>
      </c>
      <c r="E164" s="73" t="s">
        <v>247</v>
      </c>
      <c r="F164" s="72" t="str">
        <f>'FR 05003'!B4</f>
        <v>Lever mount half collar 2</v>
      </c>
      <c r="G164" s="73"/>
      <c r="H164" s="71">
        <f t="shared" si="9"/>
        <v>2.1249791</v>
      </c>
      <c r="I164" s="962">
        <f>'FR 05003'!N2</f>
        <v>1</v>
      </c>
      <c r="J164" s="71">
        <f>'FR 05003'!N11</f>
        <v>5.0579100000000009E-2</v>
      </c>
      <c r="K164" s="71">
        <f>'FR 05003'!I17</f>
        <v>2.0743999999999998</v>
      </c>
      <c r="L164" s="71">
        <v>0</v>
      </c>
      <c r="M164" s="71">
        <v>0</v>
      </c>
      <c r="N164" s="71">
        <f t="shared" si="7"/>
        <v>2.1249791</v>
      </c>
      <c r="O164" s="988"/>
    </row>
    <row r="165" spans="1:15" ht="13.8" x14ac:dyDescent="0.25">
      <c r="A165" s="987">
        <v>159</v>
      </c>
      <c r="B165" s="72" t="s">
        <v>10</v>
      </c>
      <c r="C165" s="70" t="s">
        <v>251</v>
      </c>
      <c r="D165" s="73" t="s">
        <v>36</v>
      </c>
      <c r="E165" s="73" t="s">
        <v>247</v>
      </c>
      <c r="F165" s="72" t="str">
        <f>'FR 05004'!B4</f>
        <v>Half collars spacer</v>
      </c>
      <c r="G165" s="73"/>
      <c r="H165" s="71">
        <f t="shared" si="9"/>
        <v>1.7428290880000001</v>
      </c>
      <c r="I165" s="962">
        <f>'FR 05004'!N2</f>
        <v>2</v>
      </c>
      <c r="J165" s="71">
        <f>'FR 05004'!N11</f>
        <v>1.8029087999999995E-2</v>
      </c>
      <c r="K165" s="71">
        <f>'FR 05004'!I17</f>
        <v>1.7248000000000001</v>
      </c>
      <c r="L165" s="71">
        <v>0</v>
      </c>
      <c r="M165" s="71">
        <v>0</v>
      </c>
      <c r="N165" s="71">
        <f t="shared" si="7"/>
        <v>3.4856581760000003</v>
      </c>
      <c r="O165" s="988"/>
    </row>
    <row r="166" spans="1:15" ht="13.8" x14ac:dyDescent="0.25">
      <c r="A166" s="987">
        <v>160</v>
      </c>
      <c r="B166" s="72" t="s">
        <v>10</v>
      </c>
      <c r="C166" s="70" t="s">
        <v>252</v>
      </c>
      <c r="D166" s="73" t="s">
        <v>36</v>
      </c>
      <c r="E166" s="73" t="s">
        <v>247</v>
      </c>
      <c r="F166" s="72" t="str">
        <f>'FR 05005'!B4</f>
        <v>Lever handle</v>
      </c>
      <c r="G166" s="73"/>
      <c r="H166" s="71">
        <f t="shared" si="9"/>
        <v>5.5737547406334045</v>
      </c>
      <c r="I166" s="962">
        <f>'FR 05005'!N2</f>
        <v>1</v>
      </c>
      <c r="J166" s="71">
        <f>'FR 05005'!N12</f>
        <v>0.48042140730007077</v>
      </c>
      <c r="K166" s="71">
        <f>'FR 05005'!I22</f>
        <v>4.7600000000000007</v>
      </c>
      <c r="L166" s="71">
        <v>0</v>
      </c>
      <c r="M166" s="71">
        <f>'FR 05005'!I28</f>
        <v>0.33333333333333331</v>
      </c>
      <c r="N166" s="71">
        <f t="shared" si="7"/>
        <v>5.5737547406334045</v>
      </c>
      <c r="O166" s="988"/>
    </row>
    <row r="167" spans="1:15" ht="13.8" x14ac:dyDescent="0.25">
      <c r="A167" s="987">
        <v>161</v>
      </c>
      <c r="B167" s="72" t="s">
        <v>10</v>
      </c>
      <c r="C167" s="70" t="s">
        <v>253</v>
      </c>
      <c r="D167" s="73" t="s">
        <v>36</v>
      </c>
      <c r="E167" s="73" t="s">
        <v>247</v>
      </c>
      <c r="F167" s="72" t="str">
        <f>'FR 05006'!B4</f>
        <v>Lever joint</v>
      </c>
      <c r="G167" s="73"/>
      <c r="H167" s="71">
        <f t="shared" si="9"/>
        <v>10.871166666666667</v>
      </c>
      <c r="I167" s="962">
        <f>'FR 05006'!N2</f>
        <v>1</v>
      </c>
      <c r="J167" s="71">
        <f>'FR 05006'!N11</f>
        <v>0.5625</v>
      </c>
      <c r="K167" s="71">
        <f>'FR 05006'!I22</f>
        <v>3.6420000000000003</v>
      </c>
      <c r="L167" s="71">
        <v>0</v>
      </c>
      <c r="M167" s="71">
        <f>'FR 05006'!I26</f>
        <v>6.666666666666667</v>
      </c>
      <c r="N167" s="71">
        <f t="shared" si="7"/>
        <v>10.871166666666667</v>
      </c>
      <c r="O167" s="988"/>
    </row>
    <row r="168" spans="1:15" ht="13.8" x14ac:dyDescent="0.25">
      <c r="A168" s="987">
        <v>162</v>
      </c>
      <c r="B168" s="72" t="s">
        <v>10</v>
      </c>
      <c r="C168" s="70" t="s">
        <v>254</v>
      </c>
      <c r="D168" s="73" t="s">
        <v>36</v>
      </c>
      <c r="E168" s="73" t="s">
        <v>247</v>
      </c>
      <c r="F168" s="72" t="str">
        <f>'FR 05007'!B4</f>
        <v>Actuation lever</v>
      </c>
      <c r="G168" s="73"/>
      <c r="H168" s="71">
        <f t="shared" si="9"/>
        <v>9.7986666666666675</v>
      </c>
      <c r="I168" s="962">
        <f>'FR 05007'!N2</f>
        <v>1</v>
      </c>
      <c r="J168" s="71">
        <f>'FR 05007'!N11</f>
        <v>0.63</v>
      </c>
      <c r="K168" s="71">
        <f>'FR 05007'!I18</f>
        <v>2.5020000000000002</v>
      </c>
      <c r="L168" s="71">
        <v>0</v>
      </c>
      <c r="M168" s="71">
        <f>'FR 05007'!I23</f>
        <v>6.666666666666667</v>
      </c>
      <c r="N168" s="71">
        <f t="shared" si="7"/>
        <v>9.7986666666666675</v>
      </c>
      <c r="O168" s="988"/>
    </row>
    <row r="169" spans="1:15" ht="13.8" x14ac:dyDescent="0.25">
      <c r="A169" s="987">
        <v>163</v>
      </c>
      <c r="B169" s="72" t="s">
        <v>10</v>
      </c>
      <c r="C169" s="70" t="s">
        <v>1800</v>
      </c>
      <c r="D169" s="73" t="s">
        <v>36</v>
      </c>
      <c r="E169" s="73" t="s">
        <v>247</v>
      </c>
      <c r="F169" s="72" t="str">
        <f>'FR 05008'!B4</f>
        <v>Handle padding</v>
      </c>
      <c r="G169" s="73"/>
      <c r="H169" s="71">
        <f>SUM(J169:M169)</f>
        <v>7.3966666666666665</v>
      </c>
      <c r="I169" s="962">
        <f>'FR 05008'!N2</f>
        <v>1</v>
      </c>
      <c r="J169" s="71">
        <f>'FR 05008'!N11</f>
        <v>0.33</v>
      </c>
      <c r="K169" s="71">
        <f>'FR 05008'!I15</f>
        <v>0.4</v>
      </c>
      <c r="L169" s="71">
        <v>0</v>
      </c>
      <c r="M169" s="71">
        <f>'FR 05008'!I21</f>
        <v>6.666666666666667</v>
      </c>
      <c r="N169" s="71">
        <f t="shared" si="7"/>
        <v>7.3966666666666665</v>
      </c>
      <c r="O169" s="988"/>
    </row>
    <row r="170" spans="1:15" ht="13.8" x14ac:dyDescent="0.25">
      <c r="A170" s="65">
        <v>164</v>
      </c>
      <c r="B170" s="66" t="s">
        <v>10</v>
      </c>
      <c r="C170" s="67" t="s">
        <v>255</v>
      </c>
      <c r="D170" s="67" t="s">
        <v>36</v>
      </c>
      <c r="E170" s="67"/>
      <c r="F170" s="66" t="s">
        <v>1804</v>
      </c>
      <c r="G170" s="67"/>
      <c r="H170" s="68">
        <f>SUM(J170:M170)</f>
        <v>8.838000000000001</v>
      </c>
      <c r="I170" s="963">
        <f>'FR A0006'!N2</f>
        <v>1</v>
      </c>
      <c r="J170" s="68">
        <f>'FR A0006'!N17</f>
        <v>4</v>
      </c>
      <c r="K170" s="68">
        <f>'FR A0006'!I27</f>
        <v>4.6779999999999999</v>
      </c>
      <c r="L170" s="68">
        <f>'FR A0006'!J33</f>
        <v>0.16</v>
      </c>
      <c r="M170" s="68">
        <v>0</v>
      </c>
      <c r="N170" s="68">
        <f t="shared" si="7"/>
        <v>8.838000000000001</v>
      </c>
      <c r="O170" s="69"/>
    </row>
    <row r="171" spans="1:15" ht="13.8" x14ac:dyDescent="0.25">
      <c r="A171" s="987">
        <v>165</v>
      </c>
      <c r="B171" s="72" t="s">
        <v>10</v>
      </c>
      <c r="C171" s="70" t="s">
        <v>257</v>
      </c>
      <c r="D171" s="73" t="s">
        <v>36</v>
      </c>
      <c r="E171" s="73" t="s">
        <v>1804</v>
      </c>
      <c r="F171" s="72" t="str">
        <f>'FR 06001'!B4</f>
        <v>Paddles mount main part</v>
      </c>
      <c r="G171" s="73"/>
      <c r="H171" s="71">
        <f>SUM(J171:M171)</f>
        <v>6.508775</v>
      </c>
      <c r="I171" s="962">
        <f>'FR 06001'!N2</f>
        <v>1</v>
      </c>
      <c r="J171" s="71">
        <f>'FR 06001'!N11</f>
        <v>0.69877500000000015</v>
      </c>
      <c r="K171" s="71">
        <f>'FR 06001'!I18</f>
        <v>5.81</v>
      </c>
      <c r="L171" s="71">
        <v>0</v>
      </c>
      <c r="M171" s="71">
        <v>0</v>
      </c>
      <c r="N171" s="71">
        <f t="shared" si="7"/>
        <v>6.508775</v>
      </c>
      <c r="O171" s="988"/>
    </row>
    <row r="172" spans="1:15" ht="13.8" x14ac:dyDescent="0.25">
      <c r="A172" s="987">
        <v>166</v>
      </c>
      <c r="B172" s="72" t="s">
        <v>10</v>
      </c>
      <c r="C172" s="70" t="s">
        <v>258</v>
      </c>
      <c r="D172" s="73" t="s">
        <v>36</v>
      </c>
      <c r="E172" s="73" t="s">
        <v>1804</v>
      </c>
      <c r="F172" s="72" t="str">
        <f>'FR 06002'!B4</f>
        <v>Paddles rockers</v>
      </c>
      <c r="G172" s="73"/>
      <c r="H172" s="71">
        <f>SUM(J172:M172)</f>
        <v>4.6268039999999999</v>
      </c>
      <c r="I172" s="962">
        <f>'FR 06002'!N2</f>
        <v>2</v>
      </c>
      <c r="J172" s="71">
        <f>'FR 06002'!N11</f>
        <v>0.11180400000000003</v>
      </c>
      <c r="K172" s="71">
        <f>'FR 06002'!I19</f>
        <v>4.5149999999999997</v>
      </c>
      <c r="L172" s="71">
        <v>0</v>
      </c>
      <c r="M172" s="71">
        <v>0</v>
      </c>
      <c r="N172" s="71">
        <f t="shared" si="7"/>
        <v>9.2536079999999998</v>
      </c>
      <c r="O172" s="988"/>
    </row>
    <row r="173" spans="1:15" ht="13.8" x14ac:dyDescent="0.25">
      <c r="A173" s="987">
        <v>167</v>
      </c>
      <c r="B173" s="72" t="s">
        <v>10</v>
      </c>
      <c r="C173" s="70" t="s">
        <v>259</v>
      </c>
      <c r="D173" s="73" t="s">
        <v>36</v>
      </c>
      <c r="E173" s="73" t="s">
        <v>1804</v>
      </c>
      <c r="F173" s="72" t="str">
        <f>'FR 06003'!B4</f>
        <v>Paddles</v>
      </c>
      <c r="G173" s="73"/>
      <c r="H173" s="71">
        <f>SUM(J173:M173)</f>
        <v>4.6570125000000004</v>
      </c>
      <c r="I173" s="962">
        <f>'FR 06003'!N2</f>
        <v>2</v>
      </c>
      <c r="J173" s="71">
        <f>'FR 06003'!N11</f>
        <v>1.4590125</v>
      </c>
      <c r="K173" s="71">
        <f>'FR 06003'!I16</f>
        <v>3.198</v>
      </c>
      <c r="L173" s="71">
        <v>0</v>
      </c>
      <c r="M173" s="71">
        <v>0</v>
      </c>
      <c r="N173" s="71">
        <f t="shared" si="7"/>
        <v>9.3140250000000009</v>
      </c>
      <c r="O173" s="988"/>
    </row>
    <row r="174" spans="1:15" ht="13.8" x14ac:dyDescent="0.25">
      <c r="A174" s="65">
        <v>168</v>
      </c>
      <c r="B174" s="66" t="s">
        <v>10</v>
      </c>
      <c r="C174" s="67" t="s">
        <v>260</v>
      </c>
      <c r="D174" s="67" t="s">
        <v>36</v>
      </c>
      <c r="E174" s="67"/>
      <c r="F174" s="66" t="s">
        <v>256</v>
      </c>
      <c r="G174" s="67"/>
      <c r="H174" s="68">
        <f t="shared" si="9"/>
        <v>23.435833333333328</v>
      </c>
      <c r="I174" s="963">
        <f>'FR A0007'!N2</f>
        <v>1</v>
      </c>
      <c r="J174" s="68">
        <f>'FR A0007'!N22</f>
        <v>2.04</v>
      </c>
      <c r="K174" s="68">
        <f>'FR A0007'!I43</f>
        <v>19.142499999999995</v>
      </c>
      <c r="L174" s="68">
        <f>'FR A0007'!J54</f>
        <v>0.92000000000000015</v>
      </c>
      <c r="M174" s="68">
        <f>'FR A0007'!I58</f>
        <v>1.3333333333333333</v>
      </c>
      <c r="N174" s="68">
        <f t="shared" si="7"/>
        <v>23.435833333333328</v>
      </c>
      <c r="O174" s="69"/>
    </row>
    <row r="175" spans="1:15" ht="13.8" x14ac:dyDescent="0.25">
      <c r="A175" s="987">
        <v>169</v>
      </c>
      <c r="B175" s="72" t="s">
        <v>10</v>
      </c>
      <c r="C175" s="70" t="s">
        <v>262</v>
      </c>
      <c r="D175" s="73" t="s">
        <v>36</v>
      </c>
      <c r="E175" s="73" t="s">
        <v>256</v>
      </c>
      <c r="F175" s="72" t="str">
        <f>'FR 07001'!B4</f>
        <v>Proshift gearshifting actuator</v>
      </c>
      <c r="G175" s="73"/>
      <c r="H175" s="71">
        <f t="shared" si="9"/>
        <v>375</v>
      </c>
      <c r="I175" s="962">
        <f>'FR 07001'!N2</f>
        <v>1</v>
      </c>
      <c r="J175" s="71">
        <f>'FR 07001'!N11</f>
        <v>375</v>
      </c>
      <c r="K175" s="71">
        <v>0</v>
      </c>
      <c r="L175" s="71">
        <v>0</v>
      </c>
      <c r="M175" s="71">
        <v>0</v>
      </c>
      <c r="N175" s="71">
        <f t="shared" si="7"/>
        <v>375</v>
      </c>
      <c r="O175" s="988"/>
    </row>
    <row r="176" spans="1:15" ht="13.8" x14ac:dyDescent="0.25">
      <c r="A176" s="987">
        <v>170</v>
      </c>
      <c r="B176" s="72" t="s">
        <v>10</v>
      </c>
      <c r="C176" s="70" t="s">
        <v>263</v>
      </c>
      <c r="D176" s="73" t="s">
        <v>36</v>
      </c>
      <c r="E176" s="73" t="s">
        <v>256</v>
      </c>
      <c r="F176" s="72" t="str">
        <f>'FR 07002'!B4</f>
        <v>Actuator right steel mount</v>
      </c>
      <c r="G176" s="73"/>
      <c r="H176" s="71">
        <f t="shared" si="9"/>
        <v>5.5980793599999998</v>
      </c>
      <c r="I176" s="962">
        <f>'FR 07002'!N2</f>
        <v>1</v>
      </c>
      <c r="J176" s="71">
        <f>'FR 07002'!N11</f>
        <v>0.34407936</v>
      </c>
      <c r="K176" s="71">
        <f>'FR 07002'!I20</f>
        <v>5.2539999999999996</v>
      </c>
      <c r="L176" s="71">
        <v>0</v>
      </c>
      <c r="M176" s="71">
        <v>0</v>
      </c>
      <c r="N176" s="71">
        <f t="shared" si="7"/>
        <v>5.5980793599999998</v>
      </c>
      <c r="O176" s="988"/>
    </row>
    <row r="177" spans="1:15" ht="13.8" x14ac:dyDescent="0.25">
      <c r="A177" s="987">
        <v>171</v>
      </c>
      <c r="B177" s="72" t="s">
        <v>10</v>
      </c>
      <c r="C177" s="70" t="s">
        <v>265</v>
      </c>
      <c r="D177" s="73" t="s">
        <v>36</v>
      </c>
      <c r="E177" s="73" t="s">
        <v>256</v>
      </c>
      <c r="F177" s="72" t="str">
        <f>'FR 07003'!B4</f>
        <v>Actuator right aluminium mount</v>
      </c>
      <c r="G177" s="73"/>
      <c r="H177" s="71">
        <f t="shared" si="9"/>
        <v>10.333309696000001</v>
      </c>
      <c r="I177" s="962">
        <f>'FR 07003'!N2</f>
        <v>1</v>
      </c>
      <c r="J177" s="71">
        <f>'FR 07003'!N11</f>
        <v>1.7133096959999998</v>
      </c>
      <c r="K177" s="71">
        <f>'FR 07003'!I20</f>
        <v>8.620000000000001</v>
      </c>
      <c r="L177" s="71">
        <v>0</v>
      </c>
      <c r="M177" s="71">
        <v>0</v>
      </c>
      <c r="N177" s="71">
        <f t="shared" si="7"/>
        <v>10.333309696000001</v>
      </c>
      <c r="O177" s="988"/>
    </row>
    <row r="178" spans="1:15" ht="13.8" x14ac:dyDescent="0.25">
      <c r="A178" s="987">
        <v>172</v>
      </c>
      <c r="B178" s="72" t="s">
        <v>10</v>
      </c>
      <c r="C178" s="70" t="s">
        <v>267</v>
      </c>
      <c r="D178" s="73" t="s">
        <v>36</v>
      </c>
      <c r="E178" s="73" t="s">
        <v>256</v>
      </c>
      <c r="F178" s="72" t="str">
        <f>'FR 07004'!B4</f>
        <v>Actuator left steel mount</v>
      </c>
      <c r="G178" s="73"/>
      <c r="H178" s="71">
        <f t="shared" si="9"/>
        <v>9.0197606400000012</v>
      </c>
      <c r="I178" s="962">
        <f>'FR 07004'!N2</f>
        <v>1</v>
      </c>
      <c r="J178" s="71">
        <f>'FR 07004'!N11</f>
        <v>0.78776064000000001</v>
      </c>
      <c r="K178" s="71">
        <f>'FR 07004'!I20</f>
        <v>8.2320000000000011</v>
      </c>
      <c r="L178" s="71">
        <v>0</v>
      </c>
      <c r="M178" s="71">
        <v>0</v>
      </c>
      <c r="N178" s="71">
        <f t="shared" si="7"/>
        <v>9.0197606400000012</v>
      </c>
      <c r="O178" s="988"/>
    </row>
    <row r="179" spans="1:15" ht="13.8" x14ac:dyDescent="0.25">
      <c r="A179" s="987">
        <v>173</v>
      </c>
      <c r="B179" s="72" t="s">
        <v>10</v>
      </c>
      <c r="C179" s="70" t="s">
        <v>269</v>
      </c>
      <c r="D179" s="73" t="s">
        <v>36</v>
      </c>
      <c r="E179" s="73" t="s">
        <v>256</v>
      </c>
      <c r="F179" s="72" t="str">
        <f>'FR 07005'!B4</f>
        <v>Actuator left aluminium mount</v>
      </c>
      <c r="G179" s="73"/>
      <c r="H179" s="71">
        <f t="shared" si="9"/>
        <v>3.0007792640000002</v>
      </c>
      <c r="I179" s="989">
        <f>'FR 07005'!N2</f>
        <v>1</v>
      </c>
      <c r="J179" s="71">
        <f>'FR 07005'!N11</f>
        <v>0.12237926400000002</v>
      </c>
      <c r="K179" s="71">
        <f>'FR 07005'!I17</f>
        <v>2.8784000000000001</v>
      </c>
      <c r="L179" s="71">
        <v>0</v>
      </c>
      <c r="M179" s="71">
        <v>0</v>
      </c>
      <c r="N179" s="71">
        <f t="shared" si="7"/>
        <v>3.0007792640000002</v>
      </c>
      <c r="O179" s="988"/>
    </row>
    <row r="180" spans="1:15" ht="13.8" x14ac:dyDescent="0.25">
      <c r="A180" s="987">
        <v>174</v>
      </c>
      <c r="B180" s="72" t="s">
        <v>10</v>
      </c>
      <c r="C180" s="70" t="s">
        <v>271</v>
      </c>
      <c r="D180" s="73" t="s">
        <v>36</v>
      </c>
      <c r="E180" s="73" t="s">
        <v>256</v>
      </c>
      <c r="F180" s="72" t="str">
        <f>'FR 07006'!B4</f>
        <v>Right half-collar</v>
      </c>
      <c r="G180" s="73"/>
      <c r="H180" s="71">
        <f t="shared" si="9"/>
        <v>4.1724271903884649</v>
      </c>
      <c r="I180" s="962">
        <f>'FR 07006'!N2</f>
        <v>1</v>
      </c>
      <c r="J180" s="71">
        <f>'FR 07006'!N11</f>
        <v>0.5884271903884648</v>
      </c>
      <c r="K180" s="71">
        <f>'FR 07006'!I18</f>
        <v>3.5840000000000001</v>
      </c>
      <c r="L180" s="71">
        <v>0</v>
      </c>
      <c r="M180" s="71">
        <v>0</v>
      </c>
      <c r="N180" s="71">
        <f t="shared" si="7"/>
        <v>4.1724271903884649</v>
      </c>
      <c r="O180" s="988"/>
    </row>
    <row r="181" spans="1:15" ht="13.8" x14ac:dyDescent="0.25">
      <c r="A181" s="987">
        <v>175</v>
      </c>
      <c r="B181" s="72" t="s">
        <v>10</v>
      </c>
      <c r="C181" s="70" t="s">
        <v>273</v>
      </c>
      <c r="D181" s="73" t="s">
        <v>36</v>
      </c>
      <c r="E181" s="73" t="s">
        <v>256</v>
      </c>
      <c r="F181" s="72" t="str">
        <f>'FR 07007'!B4</f>
        <v>Left half-collar</v>
      </c>
      <c r="G181" s="73"/>
      <c r="H181" s="71">
        <f t="shared" si="9"/>
        <v>4.2884271903884645</v>
      </c>
      <c r="I181" s="962">
        <f>'FR 07007'!N2</f>
        <v>1</v>
      </c>
      <c r="J181" s="71">
        <f>'FR 07007'!N11</f>
        <v>0.5884271903884648</v>
      </c>
      <c r="K181" s="71">
        <f>'FR 07007'!I18</f>
        <v>3.7</v>
      </c>
      <c r="L181" s="71">
        <v>0</v>
      </c>
      <c r="M181" s="71">
        <v>0</v>
      </c>
      <c r="N181" s="71">
        <f t="shared" si="7"/>
        <v>4.2884271903884645</v>
      </c>
      <c r="O181" s="988"/>
    </row>
    <row r="182" spans="1:15" ht="13.8" x14ac:dyDescent="0.25">
      <c r="A182" s="987">
        <v>176</v>
      </c>
      <c r="B182" s="72" t="s">
        <v>10</v>
      </c>
      <c r="C182" s="70" t="s">
        <v>275</v>
      </c>
      <c r="D182" s="73" t="s">
        <v>36</v>
      </c>
      <c r="E182" s="73" t="s">
        <v>256</v>
      </c>
      <c r="F182" s="72" t="str">
        <f>'FR 07008'!B4</f>
        <v>Gearshift lever</v>
      </c>
      <c r="G182" s="73"/>
      <c r="H182" s="71">
        <f t="shared" si="9"/>
        <v>7.2501913166666663</v>
      </c>
      <c r="I182" s="962">
        <f>'FR 07008'!N2</f>
        <v>1</v>
      </c>
      <c r="J182" s="71">
        <f>'FR 07008'!N12</f>
        <v>0.38712464999999996</v>
      </c>
      <c r="K182" s="71">
        <f>'FR 07008'!I22</f>
        <v>6.1963999999999997</v>
      </c>
      <c r="L182" s="71">
        <v>0</v>
      </c>
      <c r="M182" s="71">
        <f>'FR 07008'!I26</f>
        <v>0.66666666666666663</v>
      </c>
      <c r="N182" s="71">
        <f t="shared" si="7"/>
        <v>7.2501913166666663</v>
      </c>
      <c r="O182" s="988"/>
    </row>
    <row r="183" spans="1:15" ht="13.8" x14ac:dyDescent="0.25">
      <c r="A183" s="65">
        <v>177</v>
      </c>
      <c r="B183" s="66" t="s">
        <v>10</v>
      </c>
      <c r="C183" s="67" t="s">
        <v>2936</v>
      </c>
      <c r="D183" s="67" t="s">
        <v>36</v>
      </c>
      <c r="E183" s="67"/>
      <c r="F183" s="66" t="s">
        <v>261</v>
      </c>
      <c r="G183" s="67"/>
      <c r="H183" s="68">
        <f t="shared" si="9"/>
        <v>58.888333333333335</v>
      </c>
      <c r="I183" s="963">
        <f>'FR A0008'!N2</f>
        <v>1</v>
      </c>
      <c r="J183" s="68">
        <f>'FR A0008'!N32</f>
        <v>2.2000000000000002</v>
      </c>
      <c r="K183" s="68">
        <f>'FR A0008'!I50</f>
        <v>42.014999999999993</v>
      </c>
      <c r="L183" s="68">
        <f>'FR A0008'!J62</f>
        <v>5.3400000000000007</v>
      </c>
      <c r="M183" s="68">
        <f>'FR A0008'!I66</f>
        <v>9.3333333333333339</v>
      </c>
      <c r="N183" s="68">
        <f t="shared" si="7"/>
        <v>58.888333333333335</v>
      </c>
      <c r="O183" s="69"/>
    </row>
    <row r="184" spans="1:15" ht="13.8" x14ac:dyDescent="0.25">
      <c r="A184" s="987">
        <v>178</v>
      </c>
      <c r="B184" s="72" t="s">
        <v>10</v>
      </c>
      <c r="C184" s="70" t="s">
        <v>1926</v>
      </c>
      <c r="D184" s="73" t="s">
        <v>36</v>
      </c>
      <c r="E184" s="73" t="s">
        <v>261</v>
      </c>
      <c r="F184" s="72" t="str">
        <f>'FR 08001'!B4</f>
        <v>Body</v>
      </c>
      <c r="G184" s="73"/>
      <c r="H184" s="71">
        <f t="shared" si="9"/>
        <v>2322.0333333333338</v>
      </c>
      <c r="I184" s="962">
        <f>'FR 08001'!N2</f>
        <v>1</v>
      </c>
      <c r="J184" s="71">
        <f>'FR 08001'!N24</f>
        <v>990</v>
      </c>
      <c r="K184" s="71">
        <f>'FR 08001'!I54</f>
        <v>1309.1000000000004</v>
      </c>
      <c r="L184" s="71">
        <v>0</v>
      </c>
      <c r="M184" s="71">
        <f>'FR 08001'!I58</f>
        <v>22.933333333333337</v>
      </c>
      <c r="N184" s="71">
        <f t="shared" si="7"/>
        <v>2322.0333333333338</v>
      </c>
      <c r="O184" s="988"/>
    </row>
    <row r="185" spans="1:15" ht="13.8" x14ac:dyDescent="0.25">
      <c r="A185" s="987">
        <v>179</v>
      </c>
      <c r="B185" s="72" t="s">
        <v>10</v>
      </c>
      <c r="C185" s="70" t="s">
        <v>1946</v>
      </c>
      <c r="D185" s="73" t="s">
        <v>36</v>
      </c>
      <c r="E185" s="73" t="s">
        <v>261</v>
      </c>
      <c r="F185" s="72" t="str">
        <f>'FR 08002'!B4</f>
        <v>Front Mount 1</v>
      </c>
      <c r="G185" s="73"/>
      <c r="H185" s="71">
        <f t="shared" si="9"/>
        <v>2.3589330099999999</v>
      </c>
      <c r="I185" s="962">
        <f>'FR 08002'!N2</f>
        <v>2</v>
      </c>
      <c r="J185" s="71">
        <f>'FR 08002'!N11</f>
        <v>8.3933010000000016E-2</v>
      </c>
      <c r="K185" s="71">
        <f>'FR 08002'!I17</f>
        <v>2.2749999999999999</v>
      </c>
      <c r="L185" s="71">
        <v>0</v>
      </c>
      <c r="M185" s="71">
        <v>0</v>
      </c>
      <c r="N185" s="71">
        <f t="shared" si="7"/>
        <v>4.7178660199999998</v>
      </c>
      <c r="O185" s="988"/>
    </row>
    <row r="186" spans="1:15" ht="13.8" x14ac:dyDescent="0.25">
      <c r="A186" s="987">
        <v>180</v>
      </c>
      <c r="B186" s="72" t="s">
        <v>10</v>
      </c>
      <c r="C186" s="70" t="s">
        <v>1951</v>
      </c>
      <c r="D186" s="73" t="s">
        <v>36</v>
      </c>
      <c r="E186" s="73" t="s">
        <v>261</v>
      </c>
      <c r="F186" s="72" t="str">
        <f>'FR 08003'!B4</f>
        <v>Front Mount 2</v>
      </c>
      <c r="G186" s="73"/>
      <c r="H186" s="71">
        <f t="shared" si="9"/>
        <v>2.2329908500000002</v>
      </c>
      <c r="I186" s="962">
        <f>'FR 08003'!N2</f>
        <v>2</v>
      </c>
      <c r="J186" s="71">
        <f>'FR 08003'!N11</f>
        <v>7.7990849999999987E-2</v>
      </c>
      <c r="K186" s="71">
        <f>'FR 08003'!I17</f>
        <v>2.1550000000000002</v>
      </c>
      <c r="L186" s="71">
        <v>0</v>
      </c>
      <c r="M186" s="71">
        <v>0</v>
      </c>
      <c r="N186" s="71">
        <f t="shared" si="7"/>
        <v>4.4659817000000004</v>
      </c>
      <c r="O186" s="988"/>
    </row>
    <row r="187" spans="1:15" ht="13.8" x14ac:dyDescent="0.25">
      <c r="A187" s="987">
        <v>181</v>
      </c>
      <c r="B187" s="72" t="s">
        <v>10</v>
      </c>
      <c r="C187" s="70" t="s">
        <v>1953</v>
      </c>
      <c r="D187" s="73" t="s">
        <v>36</v>
      </c>
      <c r="E187" s="73" t="s">
        <v>261</v>
      </c>
      <c r="F187" s="72" t="str">
        <f>'FR 08004'!B4</f>
        <v>Front Mount 3</v>
      </c>
      <c r="G187" s="73"/>
      <c r="H187" s="71">
        <f t="shared" si="9"/>
        <v>2.5346155000000001</v>
      </c>
      <c r="I187" s="962">
        <f>'FR 08004'!N2</f>
        <v>2</v>
      </c>
      <c r="J187" s="71">
        <f>'FR 08004'!N11</f>
        <v>0.1114155</v>
      </c>
      <c r="K187" s="71">
        <f>'FR 08004'!I17</f>
        <v>2.4232</v>
      </c>
      <c r="L187" s="71">
        <v>0</v>
      </c>
      <c r="M187" s="71">
        <v>0</v>
      </c>
      <c r="N187" s="71">
        <f t="shared" ref="N187:N202" si="10">H187*I187</f>
        <v>5.0692310000000003</v>
      </c>
      <c r="O187" s="988"/>
    </row>
    <row r="188" spans="1:15" ht="13.8" x14ac:dyDescent="0.25">
      <c r="A188" s="987">
        <v>182</v>
      </c>
      <c r="B188" s="72" t="s">
        <v>10</v>
      </c>
      <c r="C188" s="70" t="s">
        <v>1955</v>
      </c>
      <c r="D188" s="73" t="s">
        <v>36</v>
      </c>
      <c r="E188" s="73" t="s">
        <v>261</v>
      </c>
      <c r="F188" s="72" t="str">
        <f>'FR 08005'!B4</f>
        <v>Front fastener pushclip</v>
      </c>
      <c r="G188" s="73"/>
      <c r="H188" s="71">
        <f t="shared" si="9"/>
        <v>6.8294063327318533</v>
      </c>
      <c r="I188" s="962">
        <f>'FR 08005'!N2</f>
        <v>6</v>
      </c>
      <c r="J188" s="71">
        <f>'FR 08005'!N14</f>
        <v>1.244006332731852</v>
      </c>
      <c r="K188" s="71">
        <f>'FR 08005'!I25</f>
        <v>5.5854000000000017</v>
      </c>
      <c r="L188" s="71">
        <v>0</v>
      </c>
      <c r="M188" s="71">
        <v>0</v>
      </c>
      <c r="N188" s="71">
        <f t="shared" si="10"/>
        <v>40.97643799639112</v>
      </c>
      <c r="O188" s="988"/>
    </row>
    <row r="189" spans="1:15" ht="13.8" x14ac:dyDescent="0.25">
      <c r="A189" s="987">
        <v>183</v>
      </c>
      <c r="B189" s="72" t="s">
        <v>10</v>
      </c>
      <c r="C189" s="70" t="s">
        <v>1975</v>
      </c>
      <c r="D189" s="73" t="s">
        <v>36</v>
      </c>
      <c r="E189" s="73" t="s">
        <v>261</v>
      </c>
      <c r="F189" s="72" t="str">
        <f>'FR 08006'!B4</f>
        <v>Front fastener rod</v>
      </c>
      <c r="G189" s="73"/>
      <c r="H189" s="71">
        <f t="shared" si="9"/>
        <v>1.9922267859023564</v>
      </c>
      <c r="I189" s="962">
        <f>'FR 08006'!N2</f>
        <v>6</v>
      </c>
      <c r="J189" s="71">
        <f>'FR 08006'!N11</f>
        <v>7.2226785902356136E-2</v>
      </c>
      <c r="K189" s="71">
        <f>'FR 08006'!I17</f>
        <v>1.9200000000000002</v>
      </c>
      <c r="L189" s="71">
        <v>0</v>
      </c>
      <c r="M189" s="71">
        <v>0</v>
      </c>
      <c r="N189" s="71">
        <f t="shared" si="10"/>
        <v>11.953360715414139</v>
      </c>
      <c r="O189" s="988"/>
    </row>
    <row r="190" spans="1:15" ht="13.8" x14ac:dyDescent="0.25">
      <c r="A190" s="987">
        <v>184</v>
      </c>
      <c r="B190" s="72" t="s">
        <v>10</v>
      </c>
      <c r="C190" s="70" t="s">
        <v>1979</v>
      </c>
      <c r="D190" s="73" t="s">
        <v>36</v>
      </c>
      <c r="E190" s="73" t="s">
        <v>261</v>
      </c>
      <c r="F190" s="72" t="str">
        <f>'FR 08007'!B4</f>
        <v>Front Lateral Mount 1</v>
      </c>
      <c r="G190" s="73"/>
      <c r="H190" s="71">
        <f t="shared" si="9"/>
        <v>2.2379336200000002</v>
      </c>
      <c r="I190" s="962">
        <f>'FR 08007'!N2</f>
        <v>2</v>
      </c>
      <c r="J190" s="71">
        <f>'FR 08007'!N11</f>
        <v>7.8733620000000004E-2</v>
      </c>
      <c r="K190" s="71">
        <f>'FR 08007'!I17</f>
        <v>2.1592000000000002</v>
      </c>
      <c r="L190" s="71">
        <v>0</v>
      </c>
      <c r="M190" s="71">
        <v>0</v>
      </c>
      <c r="N190" s="71">
        <f t="shared" si="10"/>
        <v>4.4758672400000004</v>
      </c>
      <c r="O190" s="988"/>
    </row>
    <row r="191" spans="1:15" ht="13.8" x14ac:dyDescent="0.25">
      <c r="A191" s="987">
        <v>185</v>
      </c>
      <c r="B191" s="72" t="s">
        <v>10</v>
      </c>
      <c r="C191" s="70" t="s">
        <v>1981</v>
      </c>
      <c r="D191" s="73" t="s">
        <v>36</v>
      </c>
      <c r="E191" s="73" t="s">
        <v>261</v>
      </c>
      <c r="F191" s="72" t="str">
        <f>'FR 08008'!B4</f>
        <v>Front Lateral Mount 2</v>
      </c>
      <c r="G191" s="73"/>
      <c r="H191" s="71">
        <f t="shared" si="9"/>
        <v>2.3255896300000001</v>
      </c>
      <c r="I191" s="962">
        <f>'FR 08008'!N2</f>
        <v>2</v>
      </c>
      <c r="J191" s="71">
        <f>'FR 08008'!N11</f>
        <v>8.8389630000000011E-2</v>
      </c>
      <c r="K191" s="71">
        <f>'FR 08008'!I17</f>
        <v>2.2372000000000001</v>
      </c>
      <c r="L191" s="71">
        <v>0</v>
      </c>
      <c r="M191" s="71">
        <v>0</v>
      </c>
      <c r="N191" s="71">
        <f t="shared" si="10"/>
        <v>4.6511792600000001</v>
      </c>
      <c r="O191" s="988"/>
    </row>
    <row r="192" spans="1:15" ht="13.8" x14ac:dyDescent="0.25">
      <c r="A192" s="987">
        <v>186</v>
      </c>
      <c r="B192" s="72" t="s">
        <v>10</v>
      </c>
      <c r="C192" s="70" t="s">
        <v>1983</v>
      </c>
      <c r="D192" s="73" t="s">
        <v>36</v>
      </c>
      <c r="E192" s="73" t="s">
        <v>261</v>
      </c>
      <c r="F192" s="72" t="str">
        <f>'FR 08009'!B4</f>
        <v>Front Lateral Mount 3</v>
      </c>
      <c r="G192" s="73"/>
      <c r="H192" s="71">
        <f t="shared" si="9"/>
        <v>2.2177053099999999</v>
      </c>
      <c r="I192" s="962">
        <f>'FR 08009'!N2</f>
        <v>2</v>
      </c>
      <c r="J192" s="71">
        <f>'FR 08009'!N11</f>
        <v>7.6505309999999993E-2</v>
      </c>
      <c r="K192" s="71">
        <f>'FR 08009'!I17</f>
        <v>2.1412</v>
      </c>
      <c r="L192" s="71">
        <v>0</v>
      </c>
      <c r="M192" s="71">
        <v>0</v>
      </c>
      <c r="N192" s="71">
        <f t="shared" si="10"/>
        <v>4.4354106199999999</v>
      </c>
      <c r="O192" s="988"/>
    </row>
    <row r="193" spans="1:15" ht="13.8" x14ac:dyDescent="0.25">
      <c r="A193" s="987">
        <v>187</v>
      </c>
      <c r="B193" s="72" t="s">
        <v>10</v>
      </c>
      <c r="C193" s="70" t="s">
        <v>1985</v>
      </c>
      <c r="D193" s="73" t="s">
        <v>36</v>
      </c>
      <c r="E193" s="73" t="s">
        <v>261</v>
      </c>
      <c r="F193" s="72" t="str">
        <f>'FR 08010'!B4</f>
        <v>Rear Lateral Mount 1</v>
      </c>
      <c r="G193" s="73"/>
      <c r="H193" s="71">
        <f t="shared" si="9"/>
        <v>2.2520191600000001</v>
      </c>
      <c r="I193" s="962">
        <f>'FR 08010'!N2</f>
        <v>2</v>
      </c>
      <c r="J193" s="71">
        <f>'FR 08010'!N11</f>
        <v>8.0219159999999998E-2</v>
      </c>
      <c r="K193" s="71">
        <f>'FR 08010'!I17</f>
        <v>2.1718000000000002</v>
      </c>
      <c r="L193" s="71">
        <v>0</v>
      </c>
      <c r="M193" s="71">
        <v>0</v>
      </c>
      <c r="N193" s="71">
        <f t="shared" si="10"/>
        <v>4.5040383200000003</v>
      </c>
      <c r="O193" s="988"/>
    </row>
    <row r="194" spans="1:15" ht="13.8" x14ac:dyDescent="0.25">
      <c r="A194" s="987">
        <v>188</v>
      </c>
      <c r="B194" s="72" t="s">
        <v>10</v>
      </c>
      <c r="C194" s="70" t="s">
        <v>1987</v>
      </c>
      <c r="D194" s="73" t="s">
        <v>36</v>
      </c>
      <c r="E194" s="73" t="s">
        <v>261</v>
      </c>
      <c r="F194" s="72" t="str">
        <f>'FR 08011'!B4</f>
        <v>Rear Lateral Mount 2</v>
      </c>
      <c r="G194" s="73"/>
      <c r="H194" s="71">
        <f t="shared" si="9"/>
        <v>2.0969354500000001</v>
      </c>
      <c r="I194" s="962">
        <f>'FR 08011'!N2</f>
        <v>2</v>
      </c>
      <c r="J194" s="71">
        <f>'FR 08011'!N11</f>
        <v>6.313545000000001E-2</v>
      </c>
      <c r="K194" s="71">
        <f>'FR 08011'!I17</f>
        <v>2.0338000000000003</v>
      </c>
      <c r="L194" s="71">
        <v>0</v>
      </c>
      <c r="M194" s="71">
        <v>0</v>
      </c>
      <c r="N194" s="71">
        <f t="shared" si="10"/>
        <v>4.1938709000000003</v>
      </c>
      <c r="O194" s="988"/>
    </row>
    <row r="195" spans="1:15" ht="13.8" x14ac:dyDescent="0.25">
      <c r="A195" s="987">
        <v>189</v>
      </c>
      <c r="B195" s="72" t="s">
        <v>10</v>
      </c>
      <c r="C195" s="70" t="s">
        <v>1989</v>
      </c>
      <c r="D195" s="73" t="s">
        <v>36</v>
      </c>
      <c r="E195" s="73" t="s">
        <v>261</v>
      </c>
      <c r="F195" s="72" t="str">
        <f>'FR 08012'!B4</f>
        <v>Rear Lateral Mount 3</v>
      </c>
      <c r="G195" s="73"/>
      <c r="H195" s="71">
        <f t="shared" si="9"/>
        <v>2.136701977</v>
      </c>
      <c r="I195" s="962">
        <f>'FR 08012'!N2</f>
        <v>2</v>
      </c>
      <c r="J195" s="71">
        <f>'FR 08012'!N11</f>
        <v>7.501977E-3</v>
      </c>
      <c r="K195" s="71">
        <f>'FR 08012'!I17</f>
        <v>2.1292</v>
      </c>
      <c r="L195" s="71">
        <v>0</v>
      </c>
      <c r="M195" s="71">
        <v>0</v>
      </c>
      <c r="N195" s="71">
        <f t="shared" si="10"/>
        <v>4.2734039539999999</v>
      </c>
      <c r="O195" s="988"/>
    </row>
    <row r="196" spans="1:15" ht="13.8" x14ac:dyDescent="0.25">
      <c r="A196" s="987">
        <v>190</v>
      </c>
      <c r="B196" s="72" t="s">
        <v>10</v>
      </c>
      <c r="C196" s="70" t="s">
        <v>1991</v>
      </c>
      <c r="D196" s="73" t="s">
        <v>36</v>
      </c>
      <c r="E196" s="73" t="s">
        <v>261</v>
      </c>
      <c r="F196" s="72" t="str">
        <f>'FR 08013'!B4</f>
        <v>Rear Lateral Mount 4</v>
      </c>
      <c r="G196" s="73"/>
      <c r="H196" s="71">
        <f t="shared" si="9"/>
        <v>2.1857914599999999</v>
      </c>
      <c r="I196" s="962">
        <f>'FR 08013'!N2</f>
        <v>2</v>
      </c>
      <c r="J196" s="71">
        <f>'FR 08013'!N11</f>
        <v>7.2791460000000016E-2</v>
      </c>
      <c r="K196" s="71">
        <f>'FR 08013'!I17</f>
        <v>2.113</v>
      </c>
      <c r="L196" s="71">
        <v>0</v>
      </c>
      <c r="M196" s="71">
        <v>0</v>
      </c>
      <c r="N196" s="71">
        <f t="shared" si="10"/>
        <v>4.3715829199999998</v>
      </c>
      <c r="O196" s="988"/>
    </row>
    <row r="197" spans="1:15" ht="13.8" x14ac:dyDescent="0.25">
      <c r="A197" s="987">
        <v>191</v>
      </c>
      <c r="B197" s="72" t="s">
        <v>10</v>
      </c>
      <c r="C197" s="70" t="s">
        <v>1993</v>
      </c>
      <c r="D197" s="73" t="s">
        <v>36</v>
      </c>
      <c r="E197" s="73" t="s">
        <v>261</v>
      </c>
      <c r="F197" s="72" t="str">
        <f>'FR 08014'!B4</f>
        <v>Air Inlet Mount 1</v>
      </c>
      <c r="G197" s="73"/>
      <c r="H197" s="71">
        <f t="shared" si="9"/>
        <v>2.8570684599999998</v>
      </c>
      <c r="I197" s="962">
        <f>'FR 08014'!N2</f>
        <v>2</v>
      </c>
      <c r="J197" s="71">
        <f>'FR 08014'!N11</f>
        <v>0.14706846000000001</v>
      </c>
      <c r="K197" s="71">
        <f>'FR 08014'!I17</f>
        <v>2.71</v>
      </c>
      <c r="L197" s="71">
        <v>0</v>
      </c>
      <c r="M197" s="71">
        <v>0</v>
      </c>
      <c r="N197" s="71">
        <f t="shared" si="10"/>
        <v>5.7141369199999996</v>
      </c>
      <c r="O197" s="988"/>
    </row>
    <row r="198" spans="1:15" ht="13.8" x14ac:dyDescent="0.25">
      <c r="A198" s="987">
        <v>192</v>
      </c>
      <c r="B198" s="72" t="s">
        <v>10</v>
      </c>
      <c r="C198" s="70" t="s">
        <v>1995</v>
      </c>
      <c r="D198" s="73" t="s">
        <v>36</v>
      </c>
      <c r="E198" s="73" t="s">
        <v>261</v>
      </c>
      <c r="F198" s="72" t="str">
        <f>'FR 08015'!B4</f>
        <v>Air Inlet Mount 2</v>
      </c>
      <c r="G198" s="73"/>
      <c r="H198" s="71">
        <f t="shared" si="9"/>
        <v>2.3997601</v>
      </c>
      <c r="I198" s="962">
        <f>'FR 08015'!N2</f>
        <v>2</v>
      </c>
      <c r="J198" s="71">
        <f>'FR 08015'!N11</f>
        <v>9.656010000000001E-2</v>
      </c>
      <c r="K198" s="71">
        <f>'FR 08015'!I17</f>
        <v>2.3031999999999999</v>
      </c>
      <c r="L198" s="71">
        <v>0</v>
      </c>
      <c r="M198" s="71">
        <v>0</v>
      </c>
      <c r="N198" s="71">
        <f t="shared" si="10"/>
        <v>4.7995201999999999</v>
      </c>
      <c r="O198" s="988"/>
    </row>
    <row r="199" spans="1:15" ht="13.8" x14ac:dyDescent="0.25">
      <c r="A199" s="987">
        <v>193</v>
      </c>
      <c r="B199" s="72" t="s">
        <v>10</v>
      </c>
      <c r="C199" s="70" t="s">
        <v>1997</v>
      </c>
      <c r="D199" s="73" t="s">
        <v>36</v>
      </c>
      <c r="E199" s="73" t="s">
        <v>261</v>
      </c>
      <c r="F199" s="72" t="str">
        <f>'FR 08016'!B4</f>
        <v>Air Inlet Mount 3</v>
      </c>
      <c r="G199" s="73"/>
      <c r="H199" s="71">
        <f t="shared" si="9"/>
        <v>6.1588639033333319</v>
      </c>
      <c r="I199" s="962">
        <f>'FR 08016'!N2</f>
        <v>2</v>
      </c>
      <c r="J199" s="71">
        <f>'FR 08016'!N12</f>
        <v>0.12473057</v>
      </c>
      <c r="K199" s="71">
        <f>'FR 08016'!I21</f>
        <v>5.7007999999999992</v>
      </c>
      <c r="L199" s="71">
        <v>0</v>
      </c>
      <c r="M199" s="71">
        <f>'FR 08016'!I25</f>
        <v>0.33333333333333331</v>
      </c>
      <c r="N199" s="71">
        <f t="shared" si="10"/>
        <v>12.317727806666664</v>
      </c>
      <c r="O199" s="988"/>
    </row>
    <row r="200" spans="1:15" ht="13.8" x14ac:dyDescent="0.25">
      <c r="A200" s="987">
        <v>194</v>
      </c>
      <c r="B200" s="72" t="s">
        <v>10</v>
      </c>
      <c r="C200" s="70" t="s">
        <v>2004</v>
      </c>
      <c r="D200" s="73" t="s">
        <v>36</v>
      </c>
      <c r="E200" s="73" t="s">
        <v>261</v>
      </c>
      <c r="F200" s="72" t="str">
        <f>'FR 08017'!B4</f>
        <v>Air Inlet Mount 4</v>
      </c>
      <c r="G200" s="73"/>
      <c r="H200" s="71">
        <f>SUM(J200:M200)</f>
        <v>6.1804639033333331</v>
      </c>
      <c r="I200" s="962">
        <f>'FR 08017'!N2</f>
        <v>2</v>
      </c>
      <c r="J200" s="71">
        <f>'FR 08017'!N12</f>
        <v>0.12473057</v>
      </c>
      <c r="K200" s="71">
        <f>'FR 08017'!I21</f>
        <v>5.7224000000000004</v>
      </c>
      <c r="L200" s="71">
        <v>0</v>
      </c>
      <c r="M200" s="71">
        <f>'FR 08017'!I25</f>
        <v>0.33333333333333331</v>
      </c>
      <c r="N200" s="71">
        <f t="shared" si="10"/>
        <v>12.360927806666666</v>
      </c>
      <c r="O200" s="988"/>
    </row>
    <row r="201" spans="1:15" ht="13.8" x14ac:dyDescent="0.25">
      <c r="A201" s="987">
        <v>195</v>
      </c>
      <c r="B201" s="72" t="s">
        <v>10</v>
      </c>
      <c r="C201" s="70" t="s">
        <v>2007</v>
      </c>
      <c r="D201" s="73" t="s">
        <v>36</v>
      </c>
      <c r="E201" s="73" t="s">
        <v>261</v>
      </c>
      <c r="F201" s="72" t="str">
        <f>'FR 08018'!B4</f>
        <v>Air inlet reinforcement</v>
      </c>
      <c r="G201" s="73"/>
      <c r="H201" s="71">
        <f>SUM(J201:M201)</f>
        <v>3.0523600000000002</v>
      </c>
      <c r="I201" s="962">
        <f>'FR 08018'!N2</f>
        <v>2</v>
      </c>
      <c r="J201" s="71">
        <f>'FR 08018'!N11</f>
        <v>0.61236000000000002</v>
      </c>
      <c r="K201" s="71">
        <f>'FR 08018'!I17</f>
        <v>2.44</v>
      </c>
      <c r="L201" s="71">
        <v>0</v>
      </c>
      <c r="M201" s="71">
        <v>0</v>
      </c>
      <c r="N201" s="71">
        <f t="shared" si="10"/>
        <v>6.1047200000000004</v>
      </c>
      <c r="O201" s="988"/>
    </row>
    <row r="202" spans="1:15" ht="14.4" thickBot="1" x14ac:dyDescent="0.3">
      <c r="A202" s="987">
        <v>196</v>
      </c>
      <c r="B202" s="72" t="s">
        <v>10</v>
      </c>
      <c r="C202" s="70" t="s">
        <v>2012</v>
      </c>
      <c r="D202" s="73" t="s">
        <v>36</v>
      </c>
      <c r="E202" s="73" t="s">
        <v>261</v>
      </c>
      <c r="F202" s="72" t="str">
        <f>'FR 08019'!B4</f>
        <v>Lower body close-out</v>
      </c>
      <c r="G202" s="73"/>
      <c r="H202" s="71">
        <f>SUM(J202:M202)</f>
        <v>3.5107499999999998</v>
      </c>
      <c r="I202" s="962">
        <f>'FR 08019'!N2</f>
        <v>2</v>
      </c>
      <c r="J202" s="71">
        <f>'FR 08019'!N11</f>
        <v>1.4107499999999997</v>
      </c>
      <c r="K202" s="71">
        <f>'FR 08019'!I16</f>
        <v>2.1</v>
      </c>
      <c r="L202" s="71">
        <v>0</v>
      </c>
      <c r="M202" s="71">
        <f>'FR 08016'!I28</f>
        <v>0</v>
      </c>
      <c r="N202" s="71">
        <f t="shared" si="10"/>
        <v>7.0214999999999996</v>
      </c>
      <c r="O202" s="988"/>
    </row>
    <row r="203" spans="1:15" s="157" customFormat="1" ht="15" thickTop="1" thickBot="1" x14ac:dyDescent="0.3">
      <c r="A203" s="35">
        <v>197</v>
      </c>
      <c r="B203" s="36" t="s">
        <v>10</v>
      </c>
      <c r="C203" s="64"/>
      <c r="D203" s="64"/>
      <c r="E203" s="64"/>
      <c r="F203" s="36" t="s">
        <v>66</v>
      </c>
      <c r="G203" s="64"/>
      <c r="H203" s="38"/>
      <c r="I203" s="39"/>
      <c r="J203" s="41">
        <f>SUMPRODUCT($I123:$I202,J123:J202)</f>
        <v>1635.5857809956608</v>
      </c>
      <c r="K203" s="41">
        <f>SUMPRODUCT($I123:$I202,K123:K202)</f>
        <v>2448.2327640000017</v>
      </c>
      <c r="L203" s="41">
        <f>SUMPRODUCT($I123:$I202,L123:L202)</f>
        <v>12.47</v>
      </c>
      <c r="M203" s="41">
        <f>SUMPRODUCT($I123:$I202,M123:M202)</f>
        <v>128.60000000000002</v>
      </c>
      <c r="N203" s="41">
        <f>SUM(N123:N202)</f>
        <v>4224.8885449956624</v>
      </c>
      <c r="O203" s="42"/>
    </row>
    <row r="204" spans="1:15" ht="14.4" thickTop="1" x14ac:dyDescent="0.25">
      <c r="A204" s="74">
        <v>198</v>
      </c>
      <c r="B204" s="75" t="s">
        <v>285</v>
      </c>
      <c r="C204" s="76" t="s">
        <v>286</v>
      </c>
      <c r="D204" s="76" t="s">
        <v>36</v>
      </c>
      <c r="E204" s="76"/>
      <c r="F204" s="75" t="s">
        <v>287</v>
      </c>
      <c r="G204" s="76"/>
      <c r="H204" s="77">
        <f>SUM(J204:M204)</f>
        <v>134.17716666666664</v>
      </c>
      <c r="I204" s="964">
        <f>'EL A0001'!N2</f>
        <v>1</v>
      </c>
      <c r="J204" s="77">
        <f>'EL A0001'!N25</f>
        <v>118.53999999999998</v>
      </c>
      <c r="K204" s="77">
        <f>'EL A0001'!I46</f>
        <v>13.860500000000002</v>
      </c>
      <c r="L204" s="77">
        <f>'EL A0001'!J59</f>
        <v>1.1100000000000001</v>
      </c>
      <c r="M204" s="77">
        <f>'EL A0001'!I63</f>
        <v>0.66666666666666663</v>
      </c>
      <c r="N204" s="77">
        <f t="shared" ref="N204:N220" si="11">H204*I204</f>
        <v>134.17716666666664</v>
      </c>
      <c r="O204" s="78"/>
    </row>
    <row r="205" spans="1:15" ht="13.8" x14ac:dyDescent="0.25">
      <c r="A205" s="990">
        <v>199</v>
      </c>
      <c r="B205" s="991" t="s">
        <v>285</v>
      </c>
      <c r="C205" s="992" t="s">
        <v>288</v>
      </c>
      <c r="D205" s="993" t="s">
        <v>36</v>
      </c>
      <c r="E205" s="993" t="s">
        <v>287</v>
      </c>
      <c r="F205" s="991" t="str">
        <f>'EL 01001'!B4</f>
        <v>Battery tab</v>
      </c>
      <c r="G205" s="993"/>
      <c r="H205" s="994">
        <f t="shared" ref="H205:H220" si="12">SUM(J205:M205)</f>
        <v>1.7206528000000001</v>
      </c>
      <c r="I205" s="995">
        <f>'EL 01001'!N2</f>
        <v>1</v>
      </c>
      <c r="J205" s="994">
        <f>'EL 01001'!N11</f>
        <v>6.06528E-2</v>
      </c>
      <c r="K205" s="994">
        <f>'EL 01001'!I16</f>
        <v>1.6600000000000001</v>
      </c>
      <c r="L205" s="994">
        <v>0</v>
      </c>
      <c r="M205" s="994">
        <v>0</v>
      </c>
      <c r="N205" s="994">
        <f t="shared" si="11"/>
        <v>1.7206528000000001</v>
      </c>
      <c r="O205" s="996"/>
    </row>
    <row r="206" spans="1:15" ht="13.8" x14ac:dyDescent="0.25">
      <c r="A206" s="990">
        <v>200</v>
      </c>
      <c r="B206" s="991" t="s">
        <v>285</v>
      </c>
      <c r="C206" s="992" t="s">
        <v>289</v>
      </c>
      <c r="D206" s="993" t="s">
        <v>36</v>
      </c>
      <c r="E206" s="993" t="s">
        <v>287</v>
      </c>
      <c r="F206" s="991" t="str">
        <f>'EL 01002'!B4</f>
        <v>Battery bracket</v>
      </c>
      <c r="G206" s="993"/>
      <c r="H206" s="994">
        <f t="shared" si="12"/>
        <v>12.934003333333335</v>
      </c>
      <c r="I206" s="995">
        <f>'EL 01002'!N2</f>
        <v>1</v>
      </c>
      <c r="J206" s="994">
        <f>'EL 01002'!N12</f>
        <v>0.85067000000000004</v>
      </c>
      <c r="K206" s="994">
        <f>'EL 01002'!I19</f>
        <v>10.75</v>
      </c>
      <c r="L206" s="994">
        <v>0</v>
      </c>
      <c r="M206" s="994">
        <f>'EL 01002'!I23</f>
        <v>1.3333333333333333</v>
      </c>
      <c r="N206" s="994">
        <f t="shared" si="11"/>
        <v>12.934003333333335</v>
      </c>
      <c r="O206" s="996"/>
    </row>
    <row r="207" spans="1:15" ht="13.8" x14ac:dyDescent="0.25">
      <c r="A207" s="990">
        <v>201</v>
      </c>
      <c r="B207" s="991" t="s">
        <v>285</v>
      </c>
      <c r="C207" s="992" t="s">
        <v>290</v>
      </c>
      <c r="D207" s="993" t="s">
        <v>36</v>
      </c>
      <c r="E207" s="993" t="s">
        <v>287</v>
      </c>
      <c r="F207" s="991" t="str">
        <f>'EL 01003'!B4</f>
        <v>Master switch mount</v>
      </c>
      <c r="G207" s="993"/>
      <c r="H207" s="994">
        <f t="shared" si="12"/>
        <v>2.4530844000000003</v>
      </c>
      <c r="I207" s="995">
        <f>'EL 01003'!N2</f>
        <v>1</v>
      </c>
      <c r="J207" s="994">
        <f>'EL 01003'!N11</f>
        <v>0.5030844000000001</v>
      </c>
      <c r="K207" s="994">
        <f>'EL 01003'!I16</f>
        <v>1.9500000000000002</v>
      </c>
      <c r="L207" s="994">
        <v>0</v>
      </c>
      <c r="M207" s="994">
        <v>0</v>
      </c>
      <c r="N207" s="994">
        <f t="shared" si="11"/>
        <v>2.4530844000000003</v>
      </c>
      <c r="O207" s="996"/>
    </row>
    <row r="208" spans="1:15" ht="13.8" x14ac:dyDescent="0.25">
      <c r="A208" s="74">
        <v>202</v>
      </c>
      <c r="B208" s="75" t="s">
        <v>285</v>
      </c>
      <c r="C208" s="76" t="s">
        <v>291</v>
      </c>
      <c r="D208" s="76" t="s">
        <v>36</v>
      </c>
      <c r="E208" s="76"/>
      <c r="F208" s="75" t="s">
        <v>292</v>
      </c>
      <c r="G208" s="76"/>
      <c r="H208" s="77">
        <f t="shared" si="12"/>
        <v>55.922500000000007</v>
      </c>
      <c r="I208" s="964">
        <f>'EL A0002'!N2</f>
        <v>1</v>
      </c>
      <c r="J208" s="77">
        <f>'EL A0002'!N28</f>
        <v>36.1</v>
      </c>
      <c r="K208" s="77">
        <f>'EL A0002'!I44</f>
        <v>17.442499999999999</v>
      </c>
      <c r="L208" s="77">
        <f>'EL A0002'!J52</f>
        <v>0.38</v>
      </c>
      <c r="M208" s="77">
        <f>'EL A0002'!I56</f>
        <v>2</v>
      </c>
      <c r="N208" s="77">
        <f t="shared" si="11"/>
        <v>55.922500000000007</v>
      </c>
      <c r="O208" s="78"/>
    </row>
    <row r="209" spans="1:15" ht="13.8" x14ac:dyDescent="0.25">
      <c r="A209" s="990">
        <v>203</v>
      </c>
      <c r="B209" s="991" t="s">
        <v>285</v>
      </c>
      <c r="C209" s="992" t="s">
        <v>293</v>
      </c>
      <c r="D209" s="993" t="s">
        <v>36</v>
      </c>
      <c r="E209" s="993" t="s">
        <v>292</v>
      </c>
      <c r="F209" s="991" t="str">
        <f>'EL 02001'!B4</f>
        <v>Dashboard</v>
      </c>
      <c r="G209" s="993"/>
      <c r="H209" s="994">
        <f t="shared" si="12"/>
        <v>4.7034532800000006</v>
      </c>
      <c r="I209" s="995">
        <f>'EL 02001'!N2</f>
        <v>1</v>
      </c>
      <c r="J209" s="994">
        <f>'EL 02001'!N11</f>
        <v>1.0134532800000002</v>
      </c>
      <c r="K209" s="994">
        <f>'EL 02001'!I17</f>
        <v>3.6900000000000004</v>
      </c>
      <c r="L209" s="994">
        <v>0</v>
      </c>
      <c r="M209" s="994">
        <v>0</v>
      </c>
      <c r="N209" s="994">
        <f t="shared" si="11"/>
        <v>4.7034532800000006</v>
      </c>
      <c r="O209" s="996"/>
    </row>
    <row r="210" spans="1:15" ht="13.8" x14ac:dyDescent="0.25">
      <c r="A210" s="990">
        <v>204</v>
      </c>
      <c r="B210" s="991" t="s">
        <v>285</v>
      </c>
      <c r="C210" s="992" t="s">
        <v>295</v>
      </c>
      <c r="D210" s="993" t="s">
        <v>36</v>
      </c>
      <c r="E210" s="993" t="s">
        <v>292</v>
      </c>
      <c r="F210" s="991" t="str">
        <f>'EL 02002'!B4</f>
        <v>Gear indicator</v>
      </c>
      <c r="G210" s="997"/>
      <c r="H210" s="994">
        <f t="shared" si="12"/>
        <v>46.57</v>
      </c>
      <c r="I210" s="995">
        <f>'EL 02002'!N2</f>
        <v>1</v>
      </c>
      <c r="J210" s="994">
        <f>'EL 02002'!N13</f>
        <v>46</v>
      </c>
      <c r="K210" s="994">
        <f>'EL 02002'!I17</f>
        <v>0.57000000000000006</v>
      </c>
      <c r="L210" s="994">
        <v>0</v>
      </c>
      <c r="M210" s="994">
        <v>0</v>
      </c>
      <c r="N210" s="994">
        <f t="shared" si="11"/>
        <v>46.57</v>
      </c>
      <c r="O210" s="996"/>
    </row>
    <row r="211" spans="1:15" ht="13.8" x14ac:dyDescent="0.25">
      <c r="A211" s="990">
        <v>205</v>
      </c>
      <c r="B211" s="991" t="s">
        <v>285</v>
      </c>
      <c r="C211" s="992" t="s">
        <v>297</v>
      </c>
      <c r="D211" s="993" t="s">
        <v>36</v>
      </c>
      <c r="E211" s="993" t="s">
        <v>292</v>
      </c>
      <c r="F211" s="991" t="str">
        <f>'EL 02003'!B4</f>
        <v>Dashboard tab</v>
      </c>
      <c r="G211" s="993"/>
      <c r="H211" s="994">
        <f t="shared" si="12"/>
        <v>0.54273966666666673</v>
      </c>
      <c r="I211" s="995">
        <f>'EL 02003'!N2</f>
        <v>6</v>
      </c>
      <c r="J211" s="994">
        <f>'EL 02003'!N11</f>
        <v>1.7073000000000001E-2</v>
      </c>
      <c r="K211" s="994">
        <f>'EL 02003'!I16</f>
        <v>0.52566666666666673</v>
      </c>
      <c r="L211" s="994">
        <v>0</v>
      </c>
      <c r="M211" s="994">
        <v>0</v>
      </c>
      <c r="N211" s="994">
        <f t="shared" si="11"/>
        <v>3.2564380000000002</v>
      </c>
      <c r="O211" s="996"/>
    </row>
    <row r="212" spans="1:15" ht="13.8" x14ac:dyDescent="0.25">
      <c r="A212" s="990">
        <v>206</v>
      </c>
      <c r="B212" s="991" t="s">
        <v>285</v>
      </c>
      <c r="C212" s="992" t="s">
        <v>298</v>
      </c>
      <c r="D212" s="993" t="s">
        <v>36</v>
      </c>
      <c r="E212" s="993" t="s">
        <v>292</v>
      </c>
      <c r="F212" s="991" t="str">
        <f>'EL 02004'!B4</f>
        <v>Gear indicator Mount</v>
      </c>
      <c r="G212" s="993"/>
      <c r="H212" s="994">
        <f t="shared" si="12"/>
        <v>2.5860970999999999</v>
      </c>
      <c r="I212" s="995">
        <f>'EL 02004'!N2</f>
        <v>1</v>
      </c>
      <c r="J212" s="994">
        <f>'EL 02004'!N11</f>
        <v>4.6097100000000002E-2</v>
      </c>
      <c r="K212" s="994">
        <f>'EL 02004'!I17</f>
        <v>2.54</v>
      </c>
      <c r="L212" s="994">
        <v>0</v>
      </c>
      <c r="M212" s="994">
        <v>0</v>
      </c>
      <c r="N212" s="994">
        <f t="shared" si="11"/>
        <v>2.5860970999999999</v>
      </c>
      <c r="O212" s="996"/>
    </row>
    <row r="213" spans="1:15" ht="13.8" x14ac:dyDescent="0.25">
      <c r="A213" s="990">
        <v>207</v>
      </c>
      <c r="B213" s="991" t="s">
        <v>285</v>
      </c>
      <c r="C213" s="992" t="s">
        <v>2119</v>
      </c>
      <c r="D213" s="993" t="s">
        <v>36</v>
      </c>
      <c r="E213" s="993" t="s">
        <v>292</v>
      </c>
      <c r="F213" s="991" t="str">
        <f>'EL 02005'!B4</f>
        <v>Arduino controller</v>
      </c>
      <c r="G213" s="993"/>
      <c r="H213" s="994">
        <f>SUM(J213:M213)</f>
        <v>30.19</v>
      </c>
      <c r="I213" s="995">
        <f>'EL 02005'!N2</f>
        <v>1</v>
      </c>
      <c r="J213" s="994">
        <f>'EL 02005'!N12</f>
        <v>30</v>
      </c>
      <c r="K213" s="994">
        <f>'EL 02005'!I16</f>
        <v>0.19</v>
      </c>
      <c r="L213" s="994">
        <v>0</v>
      </c>
      <c r="M213" s="994">
        <v>0</v>
      </c>
      <c r="N213" s="994">
        <f t="shared" si="11"/>
        <v>30.19</v>
      </c>
      <c r="O213" s="996"/>
    </row>
    <row r="214" spans="1:15" ht="13.8" x14ac:dyDescent="0.25">
      <c r="A214" s="74">
        <v>208</v>
      </c>
      <c r="B214" s="75" t="s">
        <v>285</v>
      </c>
      <c r="C214" s="76" t="s">
        <v>299</v>
      </c>
      <c r="D214" s="76" t="s">
        <v>36</v>
      </c>
      <c r="E214" s="76"/>
      <c r="F214" s="75" t="s">
        <v>300</v>
      </c>
      <c r="G214" s="76"/>
      <c r="H214" s="77">
        <f t="shared" si="12"/>
        <v>141.261</v>
      </c>
      <c r="I214" s="964">
        <f>'EL A0003'!N2</f>
        <v>1</v>
      </c>
      <c r="J214" s="77">
        <f>'EL A0003'!N35</f>
        <v>63.74</v>
      </c>
      <c r="K214" s="77">
        <f>'EL A0003'!I67</f>
        <v>74.86099999999999</v>
      </c>
      <c r="L214" s="77">
        <f>'EL A0003'!J75</f>
        <v>0.66</v>
      </c>
      <c r="M214" s="77">
        <f>'EL A0003'!I79</f>
        <v>2</v>
      </c>
      <c r="N214" s="77">
        <f t="shared" si="11"/>
        <v>141.261</v>
      </c>
      <c r="O214" s="78"/>
    </row>
    <row r="215" spans="1:15" ht="13.8" x14ac:dyDescent="0.25">
      <c r="A215" s="990">
        <v>209</v>
      </c>
      <c r="B215" s="991" t="s">
        <v>285</v>
      </c>
      <c r="C215" s="992" t="s">
        <v>301</v>
      </c>
      <c r="D215" s="993" t="s">
        <v>36</v>
      </c>
      <c r="E215" s="993" t="s">
        <v>300</v>
      </c>
      <c r="F215" s="991" t="str">
        <f>'EL 03001'!B4</f>
        <v>Ground tab</v>
      </c>
      <c r="G215" s="993"/>
      <c r="H215" s="994">
        <f t="shared" si="12"/>
        <v>1.137254</v>
      </c>
      <c r="I215" s="995">
        <f>'EL 03001'!N2</f>
        <v>2</v>
      </c>
      <c r="J215" s="994">
        <f>'EL 03001'!N11</f>
        <v>4.3254000000000008E-2</v>
      </c>
      <c r="K215" s="994">
        <f>'EL 03001'!I16</f>
        <v>1.0940000000000001</v>
      </c>
      <c r="L215" s="994">
        <v>0</v>
      </c>
      <c r="M215" s="994">
        <v>0</v>
      </c>
      <c r="N215" s="994">
        <f t="shared" si="11"/>
        <v>2.274508</v>
      </c>
      <c r="O215" s="996"/>
    </row>
    <row r="216" spans="1:15" ht="13.8" x14ac:dyDescent="0.25">
      <c r="A216" s="990">
        <v>210</v>
      </c>
      <c r="B216" s="991" t="s">
        <v>285</v>
      </c>
      <c r="C216" s="992" t="s">
        <v>2185</v>
      </c>
      <c r="D216" s="993" t="s">
        <v>36</v>
      </c>
      <c r="E216" s="993" t="s">
        <v>300</v>
      </c>
      <c r="F216" s="991" t="str">
        <f>'EL 03002'!B4</f>
        <v>Wheel Sensor Mount</v>
      </c>
      <c r="G216" s="993"/>
      <c r="H216" s="994">
        <f>SUM(J216:M216)</f>
        <v>2.3521350000000001</v>
      </c>
      <c r="I216" s="995">
        <f>'EL 03002'!N2</f>
        <v>1</v>
      </c>
      <c r="J216" s="994">
        <f>'EL 03002'!N11</f>
        <v>0.10813500000000001</v>
      </c>
      <c r="K216" s="994">
        <f>'EL 03002'!I17</f>
        <v>2.2440000000000002</v>
      </c>
      <c r="L216" s="994">
        <v>0</v>
      </c>
      <c r="M216" s="994">
        <v>0</v>
      </c>
      <c r="N216" s="994">
        <f t="shared" si="11"/>
        <v>2.3521350000000001</v>
      </c>
      <c r="O216" s="996"/>
    </row>
    <row r="217" spans="1:15" ht="13.8" x14ac:dyDescent="0.25">
      <c r="A217" s="74">
        <v>211</v>
      </c>
      <c r="B217" s="75" t="s">
        <v>285</v>
      </c>
      <c r="C217" s="76" t="s">
        <v>302</v>
      </c>
      <c r="D217" s="76" t="s">
        <v>36</v>
      </c>
      <c r="E217" s="76"/>
      <c r="F217" s="75" t="s">
        <v>303</v>
      </c>
      <c r="G217" s="76"/>
      <c r="H217" s="77">
        <f t="shared" si="12"/>
        <v>1314.6734999999999</v>
      </c>
      <c r="I217" s="964">
        <f>'EL A0004'!N2</f>
        <v>1</v>
      </c>
      <c r="J217" s="77">
        <f>'EL A0004'!N74</f>
        <v>1133.76</v>
      </c>
      <c r="K217" s="77">
        <f>'EL A0004'!I114</f>
        <v>177.61349999999999</v>
      </c>
      <c r="L217" s="77">
        <f>'EL A0004'!J126</f>
        <v>1.3000000000000003</v>
      </c>
      <c r="M217" s="77">
        <f>'EL A0004'!I130</f>
        <v>2</v>
      </c>
      <c r="N217" s="77">
        <f t="shared" si="11"/>
        <v>1314.6734999999999</v>
      </c>
      <c r="O217" s="78"/>
    </row>
    <row r="218" spans="1:15" ht="13.8" x14ac:dyDescent="0.25">
      <c r="A218" s="990">
        <v>212</v>
      </c>
      <c r="B218" s="991" t="s">
        <v>285</v>
      </c>
      <c r="C218" s="992" t="s">
        <v>304</v>
      </c>
      <c r="D218" s="993" t="s">
        <v>36</v>
      </c>
      <c r="E218" s="993" t="s">
        <v>303</v>
      </c>
      <c r="F218" s="991" t="str">
        <f>'EL 04001'!B4</f>
        <v>Electrical system tab</v>
      </c>
      <c r="G218" s="993"/>
      <c r="H218" s="994">
        <f t="shared" si="12"/>
        <v>0.92058733333333342</v>
      </c>
      <c r="I218" s="995">
        <f>'EL 04001'!N2</f>
        <v>3</v>
      </c>
      <c r="J218" s="994">
        <f>'EL 04001'!N11</f>
        <v>4.3254000000000008E-2</v>
      </c>
      <c r="K218" s="994">
        <f>'EL 04001'!I16</f>
        <v>0.87733333333333341</v>
      </c>
      <c r="L218" s="994">
        <v>0</v>
      </c>
      <c r="M218" s="994">
        <v>0</v>
      </c>
      <c r="N218" s="994">
        <f t="shared" si="11"/>
        <v>2.7617620000000001</v>
      </c>
      <c r="O218" s="996"/>
    </row>
    <row r="219" spans="1:15" ht="13.8" x14ac:dyDescent="0.25">
      <c r="A219" s="990">
        <v>213</v>
      </c>
      <c r="B219" s="991" t="s">
        <v>285</v>
      </c>
      <c r="C219" s="992" t="s">
        <v>305</v>
      </c>
      <c r="D219" s="993" t="s">
        <v>36</v>
      </c>
      <c r="E219" s="993" t="s">
        <v>303</v>
      </c>
      <c r="F219" s="991" t="str">
        <f>'EL 04002'!B4</f>
        <v>ECU plate</v>
      </c>
      <c r="G219" s="997"/>
      <c r="H219" s="994">
        <f t="shared" si="12"/>
        <v>3.3036500000000002</v>
      </c>
      <c r="I219" s="995">
        <f>'EL 04002'!N2</f>
        <v>1</v>
      </c>
      <c r="J219" s="994">
        <f>'EL 04002'!N11</f>
        <v>0.85365000000000002</v>
      </c>
      <c r="K219" s="994">
        <f>'EL 04002'!I17</f>
        <v>2.4500000000000002</v>
      </c>
      <c r="L219" s="994">
        <v>0</v>
      </c>
      <c r="M219" s="994">
        <v>0</v>
      </c>
      <c r="N219" s="994">
        <f t="shared" si="11"/>
        <v>3.3036500000000002</v>
      </c>
      <c r="O219" s="996"/>
    </row>
    <row r="220" spans="1:15" ht="14.4" thickBot="1" x14ac:dyDescent="0.3">
      <c r="A220" s="990">
        <v>214</v>
      </c>
      <c r="B220" s="991" t="s">
        <v>285</v>
      </c>
      <c r="C220" s="992" t="s">
        <v>306</v>
      </c>
      <c r="D220" s="993" t="s">
        <v>36</v>
      </c>
      <c r="E220" s="993" t="s">
        <v>303</v>
      </c>
      <c r="F220" s="991" t="str">
        <f>'EL 04003'!B4</f>
        <v>Brake light tab</v>
      </c>
      <c r="G220" s="993"/>
      <c r="H220" s="994">
        <f t="shared" si="12"/>
        <v>1.4184405000000002</v>
      </c>
      <c r="I220" s="995">
        <f>'EL 04003'!N2</f>
        <v>2</v>
      </c>
      <c r="J220" s="994">
        <f>'EL 04003'!N11</f>
        <v>3.2440499999999997E-2</v>
      </c>
      <c r="K220" s="994">
        <f>'EL 04003'!I17</f>
        <v>1.3860000000000001</v>
      </c>
      <c r="L220" s="994">
        <v>0</v>
      </c>
      <c r="M220" s="994">
        <v>0</v>
      </c>
      <c r="N220" s="994">
        <f t="shared" si="11"/>
        <v>2.8368810000000004</v>
      </c>
      <c r="O220" s="996"/>
    </row>
    <row r="221" spans="1:15" s="157" customFormat="1" ht="15" thickTop="1" thickBot="1" x14ac:dyDescent="0.3">
      <c r="A221" s="35">
        <v>215</v>
      </c>
      <c r="B221" s="36" t="s">
        <v>11</v>
      </c>
      <c r="C221" s="64"/>
      <c r="D221" s="64"/>
      <c r="E221" s="64"/>
      <c r="F221" s="36" t="s">
        <v>66</v>
      </c>
      <c r="G221" s="64"/>
      <c r="H221" s="38"/>
      <c r="I221" s="39"/>
      <c r="J221" s="41">
        <f>SUMPRODUCT($I204:$I220,J204:J220)</f>
        <v>1431.95933158</v>
      </c>
      <c r="K221" s="41">
        <f>SUMPRODUCT($I204:$I220,K204:K220)</f>
        <v>320.56749999999994</v>
      </c>
      <c r="L221" s="41">
        <f>SUMPRODUCT($I204:$I220,L204:L220)</f>
        <v>3.4500000000000006</v>
      </c>
      <c r="M221" s="41">
        <f>SUMPRODUCT($I204:$I220,M204:M220)</f>
        <v>8</v>
      </c>
      <c r="N221" s="41">
        <f>SUM(N204:N220)</f>
        <v>1763.97683158</v>
      </c>
      <c r="O221" s="42"/>
    </row>
    <row r="222" spans="1:15" ht="14.4" thickTop="1" x14ac:dyDescent="0.25">
      <c r="A222" s="79">
        <v>216</v>
      </c>
      <c r="B222" s="80" t="s">
        <v>12</v>
      </c>
      <c r="C222" s="81" t="s">
        <v>307</v>
      </c>
      <c r="D222" s="81" t="s">
        <v>36</v>
      </c>
      <c r="E222" s="82"/>
      <c r="F222" s="80" t="s">
        <v>308</v>
      </c>
      <c r="G222" s="81"/>
      <c r="H222" s="83">
        <f>SUM(J222:M222)</f>
        <v>48.926916666666664</v>
      </c>
      <c r="I222" s="965">
        <f>'MS A0001'!N2</f>
        <v>1</v>
      </c>
      <c r="J222" s="83">
        <f>'MS A0001'!N29</f>
        <v>1.1600000000000001</v>
      </c>
      <c r="K222" s="83">
        <f>'MS A0001'!I47</f>
        <v>37.380250000000004</v>
      </c>
      <c r="L222" s="83">
        <f>'MS A0001'!J54</f>
        <v>1.7200000000000002</v>
      </c>
      <c r="M222" s="83">
        <f>'MS A0001'!I58</f>
        <v>8.6666666666666661</v>
      </c>
      <c r="N222" s="83">
        <f>H222*I222</f>
        <v>48.926916666666664</v>
      </c>
      <c r="O222" s="84"/>
    </row>
    <row r="223" spans="1:15" ht="13.8" x14ac:dyDescent="0.25">
      <c r="A223" s="85">
        <v>217</v>
      </c>
      <c r="B223" s="86" t="s">
        <v>12</v>
      </c>
      <c r="C223" s="87" t="s">
        <v>309</v>
      </c>
      <c r="D223" s="88" t="s">
        <v>36</v>
      </c>
      <c r="E223" s="88" t="s">
        <v>308</v>
      </c>
      <c r="F223" s="86" t="str">
        <f>'MS 01001'!B4</f>
        <v>Firewall main plate</v>
      </c>
      <c r="G223" s="88"/>
      <c r="H223" s="89">
        <f>SUM(J223:M223)</f>
        <v>19.814192343999999</v>
      </c>
      <c r="I223" s="966">
        <f>'MS 01001'!N2</f>
        <v>1</v>
      </c>
      <c r="J223" s="89">
        <f>'MS 01001'!N11</f>
        <v>6.1313923439999991</v>
      </c>
      <c r="K223" s="89">
        <f>'MS 01001'!I18</f>
        <v>13.6828</v>
      </c>
      <c r="L223" s="89">
        <v>0</v>
      </c>
      <c r="M223" s="89">
        <v>0</v>
      </c>
      <c r="N223" s="89">
        <f>H223*I223</f>
        <v>19.814192343999999</v>
      </c>
      <c r="O223" s="90"/>
    </row>
    <row r="224" spans="1:15" ht="13.8" x14ac:dyDescent="0.25">
      <c r="A224" s="85">
        <v>218</v>
      </c>
      <c r="B224" s="86" t="s">
        <v>12</v>
      </c>
      <c r="C224" s="87" t="s">
        <v>310</v>
      </c>
      <c r="D224" s="88" t="s">
        <v>36</v>
      </c>
      <c r="E224" s="88" t="s">
        <v>308</v>
      </c>
      <c r="F224" s="91" t="str">
        <f>'MS 01002'!B4</f>
        <v>Firewall rear right plate</v>
      </c>
      <c r="G224" s="88"/>
      <c r="H224" s="89">
        <f>SUM(J224:M224)</f>
        <v>3.2660842400000001</v>
      </c>
      <c r="I224" s="966">
        <f>'MS 01002'!N2</f>
        <v>1</v>
      </c>
      <c r="J224" s="89">
        <f>'MS 01002'!N11</f>
        <v>0.35648424000000006</v>
      </c>
      <c r="K224" s="89">
        <f>'MS 01002'!I18</f>
        <v>2.9096000000000002</v>
      </c>
      <c r="L224" s="89">
        <v>0</v>
      </c>
      <c r="M224" s="89">
        <v>0</v>
      </c>
      <c r="N224" s="89">
        <f>H224*I224</f>
        <v>3.2660842400000001</v>
      </c>
      <c r="O224" s="90"/>
    </row>
    <row r="225" spans="1:15" ht="13.8" x14ac:dyDescent="0.25">
      <c r="A225" s="85">
        <v>219</v>
      </c>
      <c r="B225" s="86" t="s">
        <v>12</v>
      </c>
      <c r="C225" s="87" t="s">
        <v>311</v>
      </c>
      <c r="D225" s="88" t="s">
        <v>36</v>
      </c>
      <c r="E225" s="88" t="s">
        <v>308</v>
      </c>
      <c r="F225" s="86" t="str">
        <f>'MS 01003'!B4</f>
        <v>Firewall rear left plate</v>
      </c>
      <c r="G225" s="88"/>
      <c r="H225" s="89">
        <f t="shared" ref="H225:H255" si="13">SUM(J225:M225)</f>
        <v>3.2660842400000001</v>
      </c>
      <c r="I225" s="966">
        <f>'MS 01003'!N2</f>
        <v>1</v>
      </c>
      <c r="J225" s="89">
        <f>'MS 01003'!N11</f>
        <v>0.35648424000000006</v>
      </c>
      <c r="K225" s="89">
        <f>'MS 01003'!I18</f>
        <v>2.9096000000000002</v>
      </c>
      <c r="L225" s="89">
        <v>0</v>
      </c>
      <c r="M225" s="89">
        <v>0</v>
      </c>
      <c r="N225" s="89">
        <f t="shared" ref="N225:N255" si="14">H225*I225</f>
        <v>3.2660842400000001</v>
      </c>
      <c r="O225" s="90"/>
    </row>
    <row r="226" spans="1:15" ht="13.8" x14ac:dyDescent="0.25">
      <c r="A226" s="85">
        <v>220</v>
      </c>
      <c r="B226" s="86" t="s">
        <v>12</v>
      </c>
      <c r="C226" s="87" t="s">
        <v>312</v>
      </c>
      <c r="D226" s="88" t="s">
        <v>36</v>
      </c>
      <c r="E226" s="88" t="s">
        <v>308</v>
      </c>
      <c r="F226" s="86" t="str">
        <f>'MS 01004'!B4</f>
        <v>Firewall right plate</v>
      </c>
      <c r="G226" s="88"/>
      <c r="H226" s="89">
        <f t="shared" si="13"/>
        <v>9.0478981199999993</v>
      </c>
      <c r="I226" s="966">
        <f>'MS 01004'!N2</f>
        <v>1</v>
      </c>
      <c r="J226" s="89">
        <f>'MS 01004'!N11</f>
        <v>1.9765981200000002</v>
      </c>
      <c r="K226" s="89">
        <f>'MS 01004'!I18</f>
        <v>7.0712999999999999</v>
      </c>
      <c r="L226" s="89">
        <v>0</v>
      </c>
      <c r="M226" s="89">
        <v>0</v>
      </c>
      <c r="N226" s="89">
        <f t="shared" si="14"/>
        <v>9.0478981199999993</v>
      </c>
      <c r="O226" s="90"/>
    </row>
    <row r="227" spans="1:15" ht="13.8" x14ac:dyDescent="0.25">
      <c r="A227" s="85">
        <v>221</v>
      </c>
      <c r="B227" s="86" t="s">
        <v>12</v>
      </c>
      <c r="C227" s="87" t="s">
        <v>313</v>
      </c>
      <c r="D227" s="88" t="s">
        <v>36</v>
      </c>
      <c r="E227" s="88" t="s">
        <v>308</v>
      </c>
      <c r="F227" s="86" t="str">
        <f>'MS 01005'!B4</f>
        <v>Firewall left plate</v>
      </c>
      <c r="G227" s="88"/>
      <c r="H227" s="89">
        <f t="shared" si="13"/>
        <v>9.0478981199999993</v>
      </c>
      <c r="I227" s="966">
        <f>'MS 01005'!N2</f>
        <v>1</v>
      </c>
      <c r="J227" s="89">
        <f>'MS 01005'!N11</f>
        <v>1.9765981200000002</v>
      </c>
      <c r="K227" s="89">
        <f>'MS 01005'!I18</f>
        <v>7.0712999999999999</v>
      </c>
      <c r="L227" s="89">
        <v>0</v>
      </c>
      <c r="M227" s="89">
        <v>0</v>
      </c>
      <c r="N227" s="89">
        <f t="shared" si="14"/>
        <v>9.0478981199999993</v>
      </c>
      <c r="O227" s="90"/>
    </row>
    <row r="228" spans="1:15" ht="13.8" x14ac:dyDescent="0.25">
      <c r="A228" s="85">
        <v>222</v>
      </c>
      <c r="B228" s="86" t="s">
        <v>12</v>
      </c>
      <c r="C228" s="87" t="s">
        <v>314</v>
      </c>
      <c r="D228" s="88" t="s">
        <v>36</v>
      </c>
      <c r="E228" s="88" t="s">
        <v>308</v>
      </c>
      <c r="F228" s="86" t="str">
        <f>'MS 01006'!B4</f>
        <v>Firewall pass through plate 1</v>
      </c>
      <c r="G228" s="88"/>
      <c r="H228" s="89">
        <f t="shared" si="13"/>
        <v>2.9343334900000002</v>
      </c>
      <c r="I228" s="966">
        <f>'MS 01006'!N2</f>
        <v>1</v>
      </c>
      <c r="J228" s="89">
        <f>'MS 01006'!N11</f>
        <v>0.30953348999999997</v>
      </c>
      <c r="K228" s="89">
        <f>'MS 01006'!I17</f>
        <v>2.6248</v>
      </c>
      <c r="L228" s="89">
        <v>0</v>
      </c>
      <c r="M228" s="89">
        <v>0</v>
      </c>
      <c r="N228" s="89">
        <f t="shared" si="14"/>
        <v>2.9343334900000002</v>
      </c>
      <c r="O228" s="90"/>
    </row>
    <row r="229" spans="1:15" ht="13.8" x14ac:dyDescent="0.25">
      <c r="A229" s="85">
        <v>223</v>
      </c>
      <c r="B229" s="86" t="s">
        <v>12</v>
      </c>
      <c r="C229" s="87" t="s">
        <v>315</v>
      </c>
      <c r="D229" s="88" t="s">
        <v>36</v>
      </c>
      <c r="E229" s="88" t="s">
        <v>308</v>
      </c>
      <c r="F229" s="86" t="str">
        <f>'MS 01007'!B4</f>
        <v>Firewall pass through plate 2</v>
      </c>
      <c r="G229" s="88"/>
      <c r="H229" s="89">
        <f t="shared" si="13"/>
        <v>3.2246789040000001</v>
      </c>
      <c r="I229" s="966">
        <f>'MS 01007'!N2</f>
        <v>1</v>
      </c>
      <c r="J229" s="89">
        <f>'MS 01007'!N11</f>
        <v>0.64617890400000011</v>
      </c>
      <c r="K229" s="89">
        <f>'MS 01007'!I17</f>
        <v>2.5785</v>
      </c>
      <c r="L229" s="89">
        <v>0</v>
      </c>
      <c r="M229" s="89">
        <v>0</v>
      </c>
      <c r="N229" s="89">
        <f t="shared" si="14"/>
        <v>3.2246789040000001</v>
      </c>
      <c r="O229" s="90"/>
    </row>
    <row r="230" spans="1:15" ht="13.8" x14ac:dyDescent="0.25">
      <c r="A230" s="85">
        <v>224</v>
      </c>
      <c r="B230" s="86" t="s">
        <v>12</v>
      </c>
      <c r="C230" s="87" t="s">
        <v>316</v>
      </c>
      <c r="D230" s="88" t="s">
        <v>36</v>
      </c>
      <c r="E230" s="88" t="s">
        <v>308</v>
      </c>
      <c r="F230" s="86" t="str">
        <f>'MS 01008'!B4</f>
        <v>Tab 1</v>
      </c>
      <c r="G230" s="88"/>
      <c r="H230" s="89">
        <f t="shared" si="13"/>
        <v>1.0303538749999999</v>
      </c>
      <c r="I230" s="966">
        <f>'MS 01008'!N2</f>
        <v>2</v>
      </c>
      <c r="J230" s="89">
        <f>'MS 01008'!N11</f>
        <v>2.7853875000000004E-2</v>
      </c>
      <c r="K230" s="89">
        <f>'MS 01008'!I16</f>
        <v>1.0024999999999999</v>
      </c>
      <c r="L230" s="89">
        <v>0</v>
      </c>
      <c r="M230" s="89">
        <v>0</v>
      </c>
      <c r="N230" s="89">
        <f t="shared" si="14"/>
        <v>2.0607077499999997</v>
      </c>
      <c r="O230" s="90"/>
    </row>
    <row r="231" spans="1:15" ht="13.8" x14ac:dyDescent="0.25">
      <c r="A231" s="85">
        <v>225</v>
      </c>
      <c r="B231" s="86" t="s">
        <v>12</v>
      </c>
      <c r="C231" s="87" t="s">
        <v>318</v>
      </c>
      <c r="D231" s="88" t="s">
        <v>36</v>
      </c>
      <c r="E231" s="88" t="s">
        <v>308</v>
      </c>
      <c r="F231" s="86" t="str">
        <f>'MS 01009'!B4</f>
        <v>Tab 2</v>
      </c>
      <c r="G231" s="88"/>
      <c r="H231" s="89">
        <f t="shared" si="13"/>
        <v>1.0444538749999999</v>
      </c>
      <c r="I231" s="966">
        <f>'MS 01009'!N2</f>
        <v>2</v>
      </c>
      <c r="J231" s="89">
        <f>'MS 01009'!N11</f>
        <v>2.7853875000000004E-2</v>
      </c>
      <c r="K231" s="89">
        <f>'MS 01009'!I16</f>
        <v>1.0165999999999999</v>
      </c>
      <c r="L231" s="89">
        <v>0</v>
      </c>
      <c r="M231" s="89">
        <v>0</v>
      </c>
      <c r="N231" s="89">
        <f t="shared" si="14"/>
        <v>2.0889077499999997</v>
      </c>
      <c r="O231" s="90"/>
    </row>
    <row r="232" spans="1:15" ht="13.8" x14ac:dyDescent="0.25">
      <c r="A232" s="85">
        <v>226</v>
      </c>
      <c r="B232" s="86" t="s">
        <v>12</v>
      </c>
      <c r="C232" s="87" t="s">
        <v>320</v>
      </c>
      <c r="D232" s="88" t="s">
        <v>36</v>
      </c>
      <c r="E232" s="88" t="s">
        <v>308</v>
      </c>
      <c r="F232" s="91" t="str">
        <f>'MS 01010'!B4</f>
        <v>Tab 3-4</v>
      </c>
      <c r="G232" s="88"/>
      <c r="H232" s="89">
        <f t="shared" si="13"/>
        <v>0.69995387500000006</v>
      </c>
      <c r="I232" s="966">
        <f>'MS 01010'!N2</f>
        <v>4</v>
      </c>
      <c r="J232" s="89">
        <f>'MS 01010'!N11</f>
        <v>2.7853875000000004E-2</v>
      </c>
      <c r="K232" s="89">
        <f>'MS 01010'!I16</f>
        <v>0.67210000000000003</v>
      </c>
      <c r="L232" s="89">
        <v>0</v>
      </c>
      <c r="M232" s="89">
        <v>0</v>
      </c>
      <c r="N232" s="89">
        <f t="shared" si="14"/>
        <v>2.7998155000000002</v>
      </c>
      <c r="O232" s="90"/>
    </row>
    <row r="233" spans="1:15" ht="13.8" x14ac:dyDescent="0.25">
      <c r="A233" s="85">
        <v>227</v>
      </c>
      <c r="B233" s="86" t="s">
        <v>12</v>
      </c>
      <c r="C233" s="87" t="s">
        <v>322</v>
      </c>
      <c r="D233" s="88" t="s">
        <v>36</v>
      </c>
      <c r="E233" s="88" t="s">
        <v>308</v>
      </c>
      <c r="F233" s="86" t="str">
        <f>'MS 01011'!B4</f>
        <v>Tab 5-9</v>
      </c>
      <c r="G233" s="88"/>
      <c r="H233" s="89">
        <f t="shared" si="13"/>
        <v>0.70595387499999995</v>
      </c>
      <c r="I233" s="966">
        <f>'MS 01011'!N2</f>
        <v>2</v>
      </c>
      <c r="J233" s="89">
        <f>'MS 01011'!N11</f>
        <v>2.7853875000000004E-2</v>
      </c>
      <c r="K233" s="89">
        <f>'MS 01011'!I16</f>
        <v>0.67809999999999993</v>
      </c>
      <c r="L233" s="89">
        <v>0</v>
      </c>
      <c r="M233" s="89">
        <v>0</v>
      </c>
      <c r="N233" s="89">
        <f t="shared" si="14"/>
        <v>1.4119077499999999</v>
      </c>
      <c r="O233" s="90"/>
    </row>
    <row r="234" spans="1:15" ht="13.8" x14ac:dyDescent="0.25">
      <c r="A234" s="85">
        <v>228</v>
      </c>
      <c r="B234" s="86" t="s">
        <v>12</v>
      </c>
      <c r="C234" s="87" t="s">
        <v>324</v>
      </c>
      <c r="D234" s="88" t="s">
        <v>36</v>
      </c>
      <c r="E234" s="88" t="s">
        <v>308</v>
      </c>
      <c r="F234" s="86" t="str">
        <f>'MS 01012'!B4</f>
        <v>Tab 6</v>
      </c>
      <c r="G234" s="88"/>
      <c r="H234" s="89">
        <f t="shared" si="13"/>
        <v>0.69995387500000006</v>
      </c>
      <c r="I234" s="966">
        <f>'MS 01012'!N2</f>
        <v>4</v>
      </c>
      <c r="J234" s="89">
        <f>'MS 01012'!N11</f>
        <v>2.7853875000000004E-2</v>
      </c>
      <c r="K234" s="89">
        <f>'MS 01012'!I16</f>
        <v>0.67210000000000003</v>
      </c>
      <c r="L234" s="89">
        <v>0</v>
      </c>
      <c r="M234" s="89">
        <v>0</v>
      </c>
      <c r="N234" s="89">
        <f t="shared" si="14"/>
        <v>2.7998155000000002</v>
      </c>
      <c r="O234" s="90"/>
    </row>
    <row r="235" spans="1:15" ht="13.8" x14ac:dyDescent="0.25">
      <c r="A235" s="85">
        <v>229</v>
      </c>
      <c r="B235" s="86" t="s">
        <v>12</v>
      </c>
      <c r="C235" s="87" t="s">
        <v>326</v>
      </c>
      <c r="D235" s="88" t="s">
        <v>36</v>
      </c>
      <c r="E235" s="88" t="s">
        <v>308</v>
      </c>
      <c r="F235" s="86" t="str">
        <f>'MS 01013'!B4</f>
        <v>Tab 7</v>
      </c>
      <c r="G235" s="88"/>
      <c r="H235" s="89">
        <f t="shared" si="13"/>
        <v>0.71225387500000004</v>
      </c>
      <c r="I235" s="966">
        <f>'MS 01013'!N2</f>
        <v>4</v>
      </c>
      <c r="J235" s="89">
        <f>'MS 01013'!N11</f>
        <v>2.7853875000000004E-2</v>
      </c>
      <c r="K235" s="89">
        <f>'MS 01013'!I16</f>
        <v>0.68440000000000001</v>
      </c>
      <c r="L235" s="89">
        <v>0</v>
      </c>
      <c r="M235" s="89">
        <v>0</v>
      </c>
      <c r="N235" s="89">
        <f t="shared" si="14"/>
        <v>2.8490155000000001</v>
      </c>
      <c r="O235" s="90"/>
    </row>
    <row r="236" spans="1:15" ht="13.8" x14ac:dyDescent="0.25">
      <c r="A236" s="85">
        <v>230</v>
      </c>
      <c r="B236" s="86" t="s">
        <v>12</v>
      </c>
      <c r="C236" s="87" t="s">
        <v>328</v>
      </c>
      <c r="D236" s="88" t="s">
        <v>36</v>
      </c>
      <c r="E236" s="88" t="s">
        <v>308</v>
      </c>
      <c r="F236" s="86" t="str">
        <f>'MS 01014'!B4</f>
        <v>Tab 8</v>
      </c>
      <c r="G236" s="88"/>
      <c r="H236" s="89">
        <f t="shared" si="13"/>
        <v>0.64325387499999997</v>
      </c>
      <c r="I236" s="966">
        <f>'MS 01014'!N2</f>
        <v>4</v>
      </c>
      <c r="J236" s="89">
        <f>'MS 01014'!N11</f>
        <v>2.7853875000000004E-2</v>
      </c>
      <c r="K236" s="89">
        <f>'MS 01014'!I16</f>
        <v>0.61539999999999995</v>
      </c>
      <c r="L236" s="89">
        <v>0</v>
      </c>
      <c r="M236" s="89">
        <v>0</v>
      </c>
      <c r="N236" s="89">
        <f t="shared" si="14"/>
        <v>2.5730154999999999</v>
      </c>
      <c r="O236" s="90"/>
    </row>
    <row r="237" spans="1:15" ht="13.8" x14ac:dyDescent="0.25">
      <c r="A237" s="85">
        <v>231</v>
      </c>
      <c r="B237" s="86" t="s">
        <v>12</v>
      </c>
      <c r="C237" s="87" t="s">
        <v>330</v>
      </c>
      <c r="D237" s="88" t="s">
        <v>36</v>
      </c>
      <c r="E237" s="88" t="s">
        <v>308</v>
      </c>
      <c r="F237" s="86" t="str">
        <f>'MS 01015'!B4</f>
        <v>Tab 10</v>
      </c>
      <c r="G237" s="88"/>
      <c r="H237" s="89">
        <f t="shared" si="13"/>
        <v>7.4951147749999993</v>
      </c>
      <c r="I237" s="966">
        <f>'MS 01015'!N2</f>
        <v>1</v>
      </c>
      <c r="J237" s="89">
        <f>'MS 01015'!N11</f>
        <v>1.1091147749999999</v>
      </c>
      <c r="K237" s="89">
        <f>'MS 01015'!I17</f>
        <v>6.3859999999999992</v>
      </c>
      <c r="L237" s="89">
        <v>0</v>
      </c>
      <c r="M237" s="89">
        <v>0</v>
      </c>
      <c r="N237" s="89">
        <f t="shared" si="14"/>
        <v>7.4951147749999993</v>
      </c>
      <c r="O237" s="90"/>
    </row>
    <row r="238" spans="1:15" ht="13.8" x14ac:dyDescent="0.25">
      <c r="A238" s="79">
        <v>232</v>
      </c>
      <c r="B238" s="80" t="s">
        <v>12</v>
      </c>
      <c r="C238" s="81" t="s">
        <v>332</v>
      </c>
      <c r="D238" s="81" t="s">
        <v>36</v>
      </c>
      <c r="E238" s="81"/>
      <c r="F238" s="92" t="s">
        <v>333</v>
      </c>
      <c r="G238" s="81"/>
      <c r="H238" s="83">
        <f t="shared" si="13"/>
        <v>54.840166666666661</v>
      </c>
      <c r="I238" s="965">
        <f>'MS A0002'!N2</f>
        <v>1</v>
      </c>
      <c r="J238" s="83">
        <f>'MS A0002'!N14</f>
        <v>45</v>
      </c>
      <c r="K238" s="83">
        <f>'MS A0002'!I22</f>
        <v>5.7074999999999996</v>
      </c>
      <c r="L238" s="83">
        <f>'MS A0002'!J28</f>
        <v>3.4660000000000002</v>
      </c>
      <c r="M238" s="83">
        <f>'MS A0002'!I32</f>
        <v>0.66666666666666663</v>
      </c>
      <c r="N238" s="83">
        <f t="shared" si="14"/>
        <v>54.840166666666661</v>
      </c>
      <c r="O238" s="84"/>
    </row>
    <row r="239" spans="1:15" ht="13.8" x14ac:dyDescent="0.25">
      <c r="A239" s="85">
        <v>233</v>
      </c>
      <c r="B239" s="86" t="s">
        <v>12</v>
      </c>
      <c r="C239" s="87" t="s">
        <v>334</v>
      </c>
      <c r="D239" s="88" t="s">
        <v>36</v>
      </c>
      <c r="E239" s="88" t="s">
        <v>333</v>
      </c>
      <c r="F239" s="86" t="str">
        <f>'MS 02001'!B4</f>
        <v>Harness tab</v>
      </c>
      <c r="G239" s="88"/>
      <c r="H239" s="89">
        <f t="shared" si="13"/>
        <v>1.7839750000000001</v>
      </c>
      <c r="I239" s="966">
        <f>'MS 02001'!N2</f>
        <v>2</v>
      </c>
      <c r="J239" s="89">
        <f>'MS 02001'!N11</f>
        <v>7.8975000000000004E-2</v>
      </c>
      <c r="K239" s="89">
        <f>'MS 02001'!I16</f>
        <v>1.7050000000000001</v>
      </c>
      <c r="L239" s="89">
        <v>0</v>
      </c>
      <c r="M239" s="89">
        <v>0</v>
      </c>
      <c r="N239" s="89">
        <f t="shared" si="14"/>
        <v>3.5679500000000002</v>
      </c>
      <c r="O239" s="90"/>
    </row>
    <row r="240" spans="1:15" ht="13.8" x14ac:dyDescent="0.25">
      <c r="A240" s="79">
        <v>234</v>
      </c>
      <c r="B240" s="80" t="s">
        <v>12</v>
      </c>
      <c r="C240" s="81" t="s">
        <v>336</v>
      </c>
      <c r="D240" s="81" t="s">
        <v>36</v>
      </c>
      <c r="E240" s="81"/>
      <c r="F240" s="80" t="s">
        <v>337</v>
      </c>
      <c r="G240" s="93"/>
      <c r="H240" s="83">
        <f t="shared" si="13"/>
        <v>37.742000000000004</v>
      </c>
      <c r="I240" s="965">
        <f>'MS A0003'!N2</f>
        <v>1</v>
      </c>
      <c r="J240" s="83">
        <f>'MS A0003'!N20</f>
        <v>1.57</v>
      </c>
      <c r="K240" s="83">
        <f>'MS A0003'!I37</f>
        <v>34.172000000000004</v>
      </c>
      <c r="L240" s="83">
        <f>'MS A0003'!J45</f>
        <v>1</v>
      </c>
      <c r="M240" s="83">
        <f>'MS A0003'!I49</f>
        <v>1</v>
      </c>
      <c r="N240" s="83">
        <f t="shared" si="14"/>
        <v>37.742000000000004</v>
      </c>
      <c r="O240" s="84"/>
    </row>
    <row r="241" spans="1:15" ht="13.8" x14ac:dyDescent="0.25">
      <c r="A241" s="85">
        <v>235</v>
      </c>
      <c r="B241" s="86" t="s">
        <v>12</v>
      </c>
      <c r="C241" s="87" t="s">
        <v>338</v>
      </c>
      <c r="D241" s="88" t="s">
        <v>36</v>
      </c>
      <c r="E241" s="88" t="s">
        <v>337</v>
      </c>
      <c r="F241" s="86" t="str">
        <f>'MS 03001'!B4</f>
        <v>Headrest back plate</v>
      </c>
      <c r="G241" s="88"/>
      <c r="H241" s="89">
        <f t="shared" si="13"/>
        <v>4.4106160000000001</v>
      </c>
      <c r="I241" s="966">
        <f>'MS 03001'!N2</f>
        <v>1</v>
      </c>
      <c r="J241" s="89">
        <f>'MS 03001'!N11</f>
        <v>1.8416160000000004</v>
      </c>
      <c r="K241" s="89">
        <f>'MS 03001'!I16</f>
        <v>2.569</v>
      </c>
      <c r="L241" s="89">
        <v>0</v>
      </c>
      <c r="M241" s="89">
        <v>0</v>
      </c>
      <c r="N241" s="89">
        <f t="shared" si="14"/>
        <v>4.4106160000000001</v>
      </c>
      <c r="O241" s="90"/>
    </row>
    <row r="242" spans="1:15" ht="13.8" x14ac:dyDescent="0.25">
      <c r="A242" s="85">
        <v>236</v>
      </c>
      <c r="B242" s="86" t="s">
        <v>12</v>
      </c>
      <c r="C242" s="87" t="s">
        <v>340</v>
      </c>
      <c r="D242" s="88" t="s">
        <v>36</v>
      </c>
      <c r="E242" s="88" t="s">
        <v>337</v>
      </c>
      <c r="F242" s="86" t="str">
        <f>'MS 03002'!B4</f>
        <v>Side tab</v>
      </c>
      <c r="G242" s="88"/>
      <c r="H242" s="89">
        <f t="shared" si="13"/>
        <v>0.8803955</v>
      </c>
      <c r="I242" s="966">
        <f>'MS 03002'!N2</f>
        <v>2</v>
      </c>
      <c r="J242" s="89">
        <f>'MS 03002'!N11</f>
        <v>7.7395499999999992E-2</v>
      </c>
      <c r="K242" s="89">
        <f>'MS 03002'!I16</f>
        <v>0.80300000000000005</v>
      </c>
      <c r="L242" s="89">
        <v>0</v>
      </c>
      <c r="M242" s="89">
        <v>0</v>
      </c>
      <c r="N242" s="89">
        <f t="shared" si="14"/>
        <v>1.760791</v>
      </c>
      <c r="O242" s="90"/>
    </row>
    <row r="243" spans="1:15" ht="13.8" x14ac:dyDescent="0.25">
      <c r="A243" s="85">
        <v>237</v>
      </c>
      <c r="B243" s="86" t="s">
        <v>12</v>
      </c>
      <c r="C243" s="87" t="s">
        <v>342</v>
      </c>
      <c r="D243" s="88" t="s">
        <v>36</v>
      </c>
      <c r="E243" s="88" t="s">
        <v>337</v>
      </c>
      <c r="F243" s="86" t="str">
        <f>'MS 03003'!B4</f>
        <v>Bottom tab</v>
      </c>
      <c r="G243" s="88"/>
      <c r="H243" s="89">
        <f t="shared" si="13"/>
        <v>1.7295400000000001</v>
      </c>
      <c r="I243" s="966">
        <f>'MS 03003'!N2</f>
        <v>1</v>
      </c>
      <c r="J243" s="89">
        <f>'MS 03003'!N11</f>
        <v>0.18953999999999999</v>
      </c>
      <c r="K243" s="89">
        <f>'MS 03003'!I16</f>
        <v>1.54</v>
      </c>
      <c r="L243" s="89">
        <v>0</v>
      </c>
      <c r="M243" s="89">
        <v>0</v>
      </c>
      <c r="N243" s="89">
        <f t="shared" si="14"/>
        <v>1.7295400000000001</v>
      </c>
      <c r="O243" s="90"/>
    </row>
    <row r="244" spans="1:15" ht="13.8" x14ac:dyDescent="0.25">
      <c r="A244" s="85">
        <v>238</v>
      </c>
      <c r="B244" s="86" t="s">
        <v>12</v>
      </c>
      <c r="C244" s="87" t="s">
        <v>344</v>
      </c>
      <c r="D244" s="88" t="s">
        <v>36</v>
      </c>
      <c r="E244" s="88" t="s">
        <v>337</v>
      </c>
      <c r="F244" s="86" t="str">
        <f>'MS 03004'!B4</f>
        <v>Upper plate</v>
      </c>
      <c r="G244" s="88"/>
      <c r="H244" s="89">
        <f t="shared" si="13"/>
        <v>5.4196800000000005</v>
      </c>
      <c r="I244" s="966">
        <f>'MS 03004'!N2</f>
        <v>1</v>
      </c>
      <c r="J244" s="89">
        <f>'MS 03004'!N11</f>
        <v>0.58968000000000009</v>
      </c>
      <c r="K244" s="89">
        <f>'MS 03004'!I17</f>
        <v>4.83</v>
      </c>
      <c r="L244" s="89">
        <v>0</v>
      </c>
      <c r="M244" s="89">
        <v>0</v>
      </c>
      <c r="N244" s="89">
        <f t="shared" si="14"/>
        <v>5.4196800000000005</v>
      </c>
      <c r="O244" s="90"/>
    </row>
    <row r="245" spans="1:15" ht="13.8" x14ac:dyDescent="0.25">
      <c r="A245" s="85">
        <v>239</v>
      </c>
      <c r="B245" s="86" t="s">
        <v>12</v>
      </c>
      <c r="C245" s="87" t="s">
        <v>346</v>
      </c>
      <c r="D245" s="88" t="s">
        <v>36</v>
      </c>
      <c r="E245" s="88" t="s">
        <v>337</v>
      </c>
      <c r="F245" s="86" t="str">
        <f>'MS 03005'!B4</f>
        <v>Bottom plate</v>
      </c>
      <c r="G245" s="88"/>
      <c r="H245" s="89">
        <f t="shared" si="13"/>
        <v>3.4722600000000003</v>
      </c>
      <c r="I245" s="966">
        <f>'MS 03005'!N2</f>
        <v>1</v>
      </c>
      <c r="J245" s="89">
        <f>'MS 03005'!N11</f>
        <v>0.44226000000000004</v>
      </c>
      <c r="K245" s="89">
        <f>'MS 03005'!I17</f>
        <v>3.0300000000000002</v>
      </c>
      <c r="L245" s="89">
        <v>0</v>
      </c>
      <c r="M245" s="89">
        <v>0</v>
      </c>
      <c r="N245" s="89">
        <f t="shared" si="14"/>
        <v>3.4722600000000003</v>
      </c>
      <c r="O245" s="90"/>
    </row>
    <row r="246" spans="1:15" ht="13.8" x14ac:dyDescent="0.25">
      <c r="A246" s="79">
        <v>240</v>
      </c>
      <c r="B246" s="80" t="s">
        <v>12</v>
      </c>
      <c r="C246" s="81" t="s">
        <v>348</v>
      </c>
      <c r="D246" s="81" t="s">
        <v>36</v>
      </c>
      <c r="E246" s="81"/>
      <c r="F246" s="80" t="s">
        <v>349</v>
      </c>
      <c r="G246" s="81"/>
      <c r="H246" s="83">
        <f t="shared" si="13"/>
        <v>0.25</v>
      </c>
      <c r="I246" s="965">
        <f>'MS A0004'!N2</f>
        <v>1</v>
      </c>
      <c r="J246" s="83">
        <v>0</v>
      </c>
      <c r="K246" s="83">
        <f>'MS A0004'!I14</f>
        <v>0.25</v>
      </c>
      <c r="L246" s="83">
        <v>0</v>
      </c>
      <c r="M246" s="83">
        <v>0</v>
      </c>
      <c r="N246" s="83">
        <f t="shared" si="14"/>
        <v>0.25</v>
      </c>
      <c r="O246" s="84"/>
    </row>
    <row r="247" spans="1:15" ht="13.8" x14ac:dyDescent="0.25">
      <c r="A247" s="85">
        <v>241</v>
      </c>
      <c r="B247" s="86" t="s">
        <v>12</v>
      </c>
      <c r="C247" s="87" t="s">
        <v>350</v>
      </c>
      <c r="D247" s="88" t="s">
        <v>36</v>
      </c>
      <c r="E247" s="88" t="s">
        <v>349</v>
      </c>
      <c r="F247" s="86" t="str">
        <f>'MS 04001'!B4</f>
        <v>Roll Bar Padding</v>
      </c>
      <c r="G247" s="88"/>
      <c r="H247" s="89">
        <f t="shared" si="13"/>
        <v>2.8699999999999997</v>
      </c>
      <c r="I247" s="966">
        <f>'MS 04001'!N2</f>
        <v>2</v>
      </c>
      <c r="J247" s="89">
        <f>'MS 04001'!N12</f>
        <v>0.05</v>
      </c>
      <c r="K247" s="89">
        <f>'MS 04001'!I16</f>
        <v>2.82</v>
      </c>
      <c r="L247" s="89">
        <v>0</v>
      </c>
      <c r="M247" s="89">
        <v>0</v>
      </c>
      <c r="N247" s="89">
        <f t="shared" si="14"/>
        <v>5.7399999999999993</v>
      </c>
      <c r="O247" s="90"/>
    </row>
    <row r="248" spans="1:15" ht="13.8" x14ac:dyDescent="0.25">
      <c r="A248" s="79">
        <v>242</v>
      </c>
      <c r="B248" s="80" t="s">
        <v>12</v>
      </c>
      <c r="C248" s="82" t="s">
        <v>352</v>
      </c>
      <c r="D248" s="81" t="s">
        <v>36</v>
      </c>
      <c r="E248" s="81"/>
      <c r="F248" s="80" t="s">
        <v>353</v>
      </c>
      <c r="G248" s="81"/>
      <c r="H248" s="83">
        <f t="shared" si="13"/>
        <v>47.668166666666664</v>
      </c>
      <c r="I248" s="965">
        <f>'MS A0005'!N2</f>
        <v>1</v>
      </c>
      <c r="J248" s="83">
        <f>'MS A0005'!N25</f>
        <v>13.737500000000001</v>
      </c>
      <c r="K248" s="83">
        <f>'MS A0005'!I45</f>
        <v>29.084</v>
      </c>
      <c r="L248" s="83">
        <f>'MS A0005'!J59</f>
        <v>2.1800000000000002</v>
      </c>
      <c r="M248" s="83">
        <f>'MS A0005'!I63</f>
        <v>2.6666666666666665</v>
      </c>
      <c r="N248" s="83">
        <f t="shared" si="14"/>
        <v>47.668166666666664</v>
      </c>
      <c r="O248" s="84"/>
    </row>
    <row r="249" spans="1:15" ht="13.8" x14ac:dyDescent="0.25">
      <c r="A249" s="85">
        <v>243</v>
      </c>
      <c r="B249" s="86" t="s">
        <v>12</v>
      </c>
      <c r="C249" s="87" t="s">
        <v>354</v>
      </c>
      <c r="D249" s="88" t="s">
        <v>36</v>
      </c>
      <c r="E249" s="88" t="s">
        <v>353</v>
      </c>
      <c r="F249" s="86" t="str">
        <f>'MS 05001'!B4</f>
        <v>Seat</v>
      </c>
      <c r="G249" s="88"/>
      <c r="H249" s="89">
        <f t="shared" si="13"/>
        <v>190.42083333333332</v>
      </c>
      <c r="I249" s="966">
        <f>'MS 05001'!N2</f>
        <v>1</v>
      </c>
      <c r="J249" s="89">
        <f>'MS 05001'!N14</f>
        <v>84.149999999999991</v>
      </c>
      <c r="K249" s="89">
        <f>'MS 05001'!I28</f>
        <v>103.33749999999999</v>
      </c>
      <c r="L249" s="89">
        <f>'MS 05001'!J33</f>
        <v>1.6</v>
      </c>
      <c r="M249" s="89">
        <f>'MS 05001'!I37</f>
        <v>1.3333333333333333</v>
      </c>
      <c r="N249" s="89">
        <f t="shared" si="14"/>
        <v>190.42083333333332</v>
      </c>
      <c r="O249" s="90"/>
    </row>
    <row r="250" spans="1:15" ht="13.8" x14ac:dyDescent="0.25">
      <c r="A250" s="85">
        <v>244</v>
      </c>
      <c r="B250" s="86" t="s">
        <v>12</v>
      </c>
      <c r="C250" s="87" t="s">
        <v>355</v>
      </c>
      <c r="D250" s="88" t="s">
        <v>36</v>
      </c>
      <c r="E250" s="88" t="s">
        <v>353</v>
      </c>
      <c r="F250" s="86" t="str">
        <f>'MS 05002'!B4</f>
        <v xml:space="preserve">Lower Seat Tab </v>
      </c>
      <c r="G250" s="88"/>
      <c r="H250" s="89">
        <f t="shared" si="13"/>
        <v>4.4508514166666666</v>
      </c>
      <c r="I250" s="966">
        <f>'MS 05002'!N2</f>
        <v>2</v>
      </c>
      <c r="J250" s="89">
        <f>'MS 05002'!N12</f>
        <v>0.30818475000000001</v>
      </c>
      <c r="K250" s="89">
        <f>'MS 05002'!I20</f>
        <v>3.476</v>
      </c>
      <c r="L250" s="89">
        <v>0</v>
      </c>
      <c r="M250" s="89">
        <f>'MS 05002'!I24</f>
        <v>0.66666666666666663</v>
      </c>
      <c r="N250" s="89">
        <f t="shared" si="14"/>
        <v>8.9017028333333332</v>
      </c>
      <c r="O250" s="90"/>
    </row>
    <row r="251" spans="1:15" ht="13.8" x14ac:dyDescent="0.25">
      <c r="A251" s="85">
        <v>245</v>
      </c>
      <c r="B251" s="86" t="s">
        <v>12</v>
      </c>
      <c r="C251" s="87" t="s">
        <v>356</v>
      </c>
      <c r="D251" s="88" t="s">
        <v>36</v>
      </c>
      <c r="E251" s="88" t="s">
        <v>353</v>
      </c>
      <c r="F251" s="86" t="str">
        <f>'MS 05003'!B4</f>
        <v xml:space="preserve">Side Seat Tab </v>
      </c>
      <c r="G251" s="88"/>
      <c r="H251" s="89">
        <f t="shared" si="13"/>
        <v>1.8548520000000002</v>
      </c>
      <c r="I251" s="966">
        <f>'MS 05003'!N2</f>
        <v>2</v>
      </c>
      <c r="J251" s="89">
        <f>'MS 05003'!N11</f>
        <v>0.20185200000000003</v>
      </c>
      <c r="K251" s="89">
        <f>'MS 05003'!I17</f>
        <v>1.653</v>
      </c>
      <c r="L251" s="89">
        <v>0</v>
      </c>
      <c r="M251" s="89">
        <v>0</v>
      </c>
      <c r="N251" s="89">
        <f t="shared" si="14"/>
        <v>3.7097040000000003</v>
      </c>
      <c r="O251" s="90"/>
    </row>
    <row r="252" spans="1:15" ht="13.8" x14ac:dyDescent="0.25">
      <c r="A252" s="85">
        <v>246</v>
      </c>
      <c r="B252" s="86" t="s">
        <v>12</v>
      </c>
      <c r="C252" s="87" t="s">
        <v>357</v>
      </c>
      <c r="D252" s="88" t="s">
        <v>36</v>
      </c>
      <c r="E252" s="94" t="s">
        <v>353</v>
      </c>
      <c r="F252" s="86" t="str">
        <f>'MS 05004'!B4</f>
        <v>Rear seat mount</v>
      </c>
      <c r="G252" s="88"/>
      <c r="H252" s="89">
        <f>SUM(J252:M252)</f>
        <v>21.730792083333334</v>
      </c>
      <c r="I252" s="966">
        <f>'MS 05004'!N2</f>
        <v>1</v>
      </c>
      <c r="J252" s="89">
        <f>'MS 05004'!N12</f>
        <v>6.474458750000001</v>
      </c>
      <c r="K252" s="89">
        <f>'MS 05004'!I21</f>
        <v>13.923000000000002</v>
      </c>
      <c r="L252" s="89">
        <v>0</v>
      </c>
      <c r="M252" s="89">
        <f>'MS 05004'!I25</f>
        <v>1.3333333333333333</v>
      </c>
      <c r="N252" s="89">
        <f t="shared" si="14"/>
        <v>21.730792083333334</v>
      </c>
      <c r="O252" s="90"/>
    </row>
    <row r="253" spans="1:15" ht="13.8" x14ac:dyDescent="0.25">
      <c r="A253" s="85">
        <v>247</v>
      </c>
      <c r="B253" s="86" t="s">
        <v>12</v>
      </c>
      <c r="C253" s="87" t="s">
        <v>358</v>
      </c>
      <c r="D253" s="88" t="s">
        <v>36</v>
      </c>
      <c r="E253" s="94" t="s">
        <v>353</v>
      </c>
      <c r="F253" s="86" t="str">
        <f>'MS 05005'!B4</f>
        <v>Lower Seat Mount</v>
      </c>
      <c r="G253" s="88"/>
      <c r="H253" s="89">
        <f>SUM(J253:M253)</f>
        <v>3.0985835000000002</v>
      </c>
      <c r="I253" s="966">
        <f>'MS 05005'!N2</f>
        <v>2</v>
      </c>
      <c r="J253" s="89">
        <f>'MS 05005'!N12</f>
        <v>0.32708349999999997</v>
      </c>
      <c r="K253" s="89">
        <f>'MS 05005'!I20</f>
        <v>2.4025000000000003</v>
      </c>
      <c r="L253" s="89">
        <v>0</v>
      </c>
      <c r="M253" s="89">
        <f>'MS 05005'!J24</f>
        <v>0.36899999999999999</v>
      </c>
      <c r="N253" s="89">
        <f t="shared" si="14"/>
        <v>6.1971670000000003</v>
      </c>
      <c r="O253" s="90"/>
    </row>
    <row r="254" spans="1:15" ht="13.8" x14ac:dyDescent="0.25">
      <c r="A254" s="85">
        <v>248</v>
      </c>
      <c r="B254" s="86" t="s">
        <v>12</v>
      </c>
      <c r="C254" s="87" t="s">
        <v>360</v>
      </c>
      <c r="D254" s="88" t="s">
        <v>36</v>
      </c>
      <c r="E254" s="88" t="s">
        <v>353</v>
      </c>
      <c r="F254" s="86" t="str">
        <f>'MS 05006'!B4</f>
        <v>Side intermediate seat mount</v>
      </c>
      <c r="G254" s="88"/>
      <c r="H254" s="89">
        <f t="shared" si="13"/>
        <v>2.4846349999999999</v>
      </c>
      <c r="I254" s="966">
        <f>'MS 05006'!N2</f>
        <v>2</v>
      </c>
      <c r="J254" s="89">
        <f>'MS 05006'!N12</f>
        <v>0.20813500000000001</v>
      </c>
      <c r="K254" s="89">
        <f>'MS 05006'!I20</f>
        <v>1.9075</v>
      </c>
      <c r="L254" s="89">
        <f>'MS 05006'!J24</f>
        <v>0.36899999999999999</v>
      </c>
      <c r="M254" s="89">
        <v>0</v>
      </c>
      <c r="N254" s="89">
        <f t="shared" si="14"/>
        <v>4.9692699999999999</v>
      </c>
      <c r="O254" s="90"/>
    </row>
    <row r="255" spans="1:15" ht="14.4" thickBot="1" x14ac:dyDescent="0.3">
      <c r="A255" s="85">
        <v>249</v>
      </c>
      <c r="B255" s="86" t="s">
        <v>12</v>
      </c>
      <c r="C255" s="87" t="s">
        <v>361</v>
      </c>
      <c r="D255" s="88" t="s">
        <v>36</v>
      </c>
      <c r="E255" s="88" t="s">
        <v>353</v>
      </c>
      <c r="F255" s="86" t="str">
        <f>'MS 05007'!B4</f>
        <v>Rear intermediate seat mount</v>
      </c>
      <c r="G255" s="88"/>
      <c r="H255" s="89">
        <f t="shared" si="13"/>
        <v>2.4846349999999999</v>
      </c>
      <c r="I255" s="966">
        <f>'MS 05007'!N2</f>
        <v>1</v>
      </c>
      <c r="J255" s="89">
        <f>'MS 05007'!N12</f>
        <v>0.20813500000000001</v>
      </c>
      <c r="K255" s="89">
        <f>'MS 05007'!I20</f>
        <v>1.9075</v>
      </c>
      <c r="L255" s="89">
        <f>'MS 05007'!J24</f>
        <v>0.36899999999999999</v>
      </c>
      <c r="M255" s="89">
        <v>0</v>
      </c>
      <c r="N255" s="89">
        <f t="shared" si="14"/>
        <v>2.4846349999999999</v>
      </c>
      <c r="O255" s="90"/>
    </row>
    <row r="256" spans="1:15" s="157" customFormat="1" ht="15" thickTop="1" thickBot="1" x14ac:dyDescent="0.3">
      <c r="A256" s="35">
        <v>250</v>
      </c>
      <c r="B256" s="36" t="s">
        <v>12</v>
      </c>
      <c r="C256" s="64"/>
      <c r="D256" s="64"/>
      <c r="E256" s="64"/>
      <c r="F256" s="36" t="s">
        <v>66</v>
      </c>
      <c r="G256" s="64"/>
      <c r="H256" s="38"/>
      <c r="I256" s="39"/>
      <c r="J256" s="41">
        <f>SUMPRODUCT($I222:$I255,J222:J255)</f>
        <v>171.34161073299998</v>
      </c>
      <c r="K256" s="41">
        <f>SUMPRODUCT($I222:$I255,K222:K255)</f>
        <v>328.46904999999998</v>
      </c>
      <c r="L256" s="41">
        <f>SUMPRODUCT($I222:$I255,L222:L255)</f>
        <v>11.072999999999999</v>
      </c>
      <c r="M256" s="41">
        <f>SUMPRODUCT($I222:$I255,M222:M255)</f>
        <v>17.738</v>
      </c>
      <c r="N256" s="41">
        <f>SUM(N222:N255)</f>
        <v>528.62166073300011</v>
      </c>
      <c r="O256" s="42"/>
    </row>
    <row r="257" spans="1:15" ht="14.4" thickTop="1" x14ac:dyDescent="0.25">
      <c r="A257" s="95">
        <v>251</v>
      </c>
      <c r="B257" s="96" t="s">
        <v>13</v>
      </c>
      <c r="C257" s="97" t="s">
        <v>362</v>
      </c>
      <c r="D257" s="97" t="s">
        <v>36</v>
      </c>
      <c r="E257" s="97"/>
      <c r="F257" s="96" t="s">
        <v>363</v>
      </c>
      <c r="G257" s="97"/>
      <c r="H257" s="98">
        <f>SUM(J257:M257)</f>
        <v>87.013000000000005</v>
      </c>
      <c r="I257" s="967">
        <f>'ST A0001'!N2</f>
        <v>1</v>
      </c>
      <c r="J257" s="98">
        <f>'ST A0001'!N28</f>
        <v>71.23</v>
      </c>
      <c r="K257" s="98">
        <f>'ST A0001'!I55</f>
        <v>13.663</v>
      </c>
      <c r="L257" s="98">
        <f>'ST A0001'!J67</f>
        <v>1.1200000000000001</v>
      </c>
      <c r="M257" s="98">
        <f>'ST A0001'!I73</f>
        <v>1</v>
      </c>
      <c r="N257" s="98">
        <f>H257*I257</f>
        <v>87.013000000000005</v>
      </c>
      <c r="O257" s="99"/>
    </row>
    <row r="258" spans="1:15" ht="13.8" x14ac:dyDescent="0.25">
      <c r="A258" s="100">
        <v>252</v>
      </c>
      <c r="B258" s="101" t="s">
        <v>13</v>
      </c>
      <c r="C258" s="102" t="s">
        <v>364</v>
      </c>
      <c r="D258" s="103" t="s">
        <v>36</v>
      </c>
      <c r="E258" s="103" t="s">
        <v>363</v>
      </c>
      <c r="F258" s="101" t="str">
        <f>'ST 01001'!B4</f>
        <v>Column tab</v>
      </c>
      <c r="G258" s="103"/>
      <c r="H258" s="104">
        <f>SUM(J258:M258)</f>
        <v>1.8948880000000001</v>
      </c>
      <c r="I258" s="968">
        <f>'ST 01001'!N2</f>
        <v>1</v>
      </c>
      <c r="J258" s="104">
        <f>'ST 01001'!N11</f>
        <v>8.4887999999999991E-2</v>
      </c>
      <c r="K258" s="104">
        <f>'ST 01001'!I16</f>
        <v>1.81</v>
      </c>
      <c r="L258" s="104">
        <v>0</v>
      </c>
      <c r="M258" s="104">
        <v>0</v>
      </c>
      <c r="N258" s="104">
        <f>H258*I258</f>
        <v>1.8948880000000001</v>
      </c>
      <c r="O258" s="105"/>
    </row>
    <row r="259" spans="1:15" ht="13.8" x14ac:dyDescent="0.25">
      <c r="A259" s="100">
        <v>253</v>
      </c>
      <c r="B259" s="101" t="s">
        <v>13</v>
      </c>
      <c r="C259" s="102" t="s">
        <v>366</v>
      </c>
      <c r="D259" s="103" t="s">
        <v>36</v>
      </c>
      <c r="E259" s="103" t="s">
        <v>363</v>
      </c>
      <c r="F259" s="101" t="str">
        <f>'ST 01002'!B4</f>
        <v>Column Mount</v>
      </c>
      <c r="G259" s="103"/>
      <c r="H259" s="104">
        <f t="shared" ref="H259:H284" si="15">SUM(J259:M259)</f>
        <v>5.4080390999999999</v>
      </c>
      <c r="I259" s="968">
        <f>'ST 01002'!N2</f>
        <v>1</v>
      </c>
      <c r="J259" s="104">
        <f>'ST 01002'!N11</f>
        <v>0.96803910000000004</v>
      </c>
      <c r="K259" s="104">
        <f>'ST 01002'!I20</f>
        <v>4.4399999999999995</v>
      </c>
      <c r="L259" s="104">
        <v>0</v>
      </c>
      <c r="M259" s="104">
        <v>0</v>
      </c>
      <c r="N259" s="104">
        <f t="shared" ref="N259:N284" si="16">H259*I259</f>
        <v>5.4080390999999999</v>
      </c>
      <c r="O259" s="105"/>
    </row>
    <row r="260" spans="1:15" ht="13.8" x14ac:dyDescent="0.25">
      <c r="A260" s="100">
        <v>254</v>
      </c>
      <c r="B260" s="101" t="s">
        <v>13</v>
      </c>
      <c r="C260" s="102" t="s">
        <v>368</v>
      </c>
      <c r="D260" s="103" t="s">
        <v>36</v>
      </c>
      <c r="E260" s="103" t="s">
        <v>363</v>
      </c>
      <c r="F260" s="101" t="str">
        <f>'ST 01003'!B4</f>
        <v>Column mount washer</v>
      </c>
      <c r="G260" s="103"/>
      <c r="H260" s="104">
        <f t="shared" si="15"/>
        <v>1.4710729999999999</v>
      </c>
      <c r="I260" s="968">
        <f>'ST 01003'!N2</f>
        <v>1</v>
      </c>
      <c r="J260" s="104">
        <f>'ST 01003'!N11</f>
        <v>1.7073000000000001E-2</v>
      </c>
      <c r="K260" s="104">
        <f>'ST 01003'!I16</f>
        <v>1.454</v>
      </c>
      <c r="L260" s="104">
        <v>0</v>
      </c>
      <c r="M260" s="104">
        <v>0</v>
      </c>
      <c r="N260" s="104">
        <f t="shared" si="16"/>
        <v>1.4710729999999999</v>
      </c>
      <c r="O260" s="105"/>
    </row>
    <row r="261" spans="1:15" ht="13.8" x14ac:dyDescent="0.25">
      <c r="A261" s="100">
        <v>255</v>
      </c>
      <c r="B261" s="101" t="s">
        <v>13</v>
      </c>
      <c r="C261" s="102" t="s">
        <v>370</v>
      </c>
      <c r="D261" s="103" t="s">
        <v>36</v>
      </c>
      <c r="E261" s="103" t="s">
        <v>363</v>
      </c>
      <c r="F261" s="106" t="str">
        <f>'ST 01004'!B4</f>
        <v>Gearshift connector mount</v>
      </c>
      <c r="G261" s="103"/>
      <c r="H261" s="104">
        <f t="shared" si="15"/>
        <v>2.0922912999999999</v>
      </c>
      <c r="I261" s="968">
        <f>'ST 01004'!N2</f>
        <v>1</v>
      </c>
      <c r="J261" s="104">
        <f>'ST 01004'!N11</f>
        <v>0.13829130000000001</v>
      </c>
      <c r="K261" s="104">
        <f>'ST 01004'!I17</f>
        <v>1.954</v>
      </c>
      <c r="L261" s="104">
        <v>0</v>
      </c>
      <c r="M261" s="104">
        <v>0</v>
      </c>
      <c r="N261" s="104">
        <f t="shared" si="16"/>
        <v>2.0922912999999999</v>
      </c>
      <c r="O261" s="105"/>
    </row>
    <row r="262" spans="1:15" ht="13.8" x14ac:dyDescent="0.25">
      <c r="A262" s="100">
        <v>256</v>
      </c>
      <c r="B262" s="101" t="s">
        <v>13</v>
      </c>
      <c r="C262" s="102" t="s">
        <v>371</v>
      </c>
      <c r="D262" s="103" t="s">
        <v>36</v>
      </c>
      <c r="E262" s="103" t="s">
        <v>363</v>
      </c>
      <c r="F262" s="101" t="str">
        <f>'ST 01005'!B4</f>
        <v>Steering Wheel Mount</v>
      </c>
      <c r="G262" s="103"/>
      <c r="H262" s="104">
        <f t="shared" si="15"/>
        <v>10.695038123333333</v>
      </c>
      <c r="I262" s="968">
        <f>'ST 01005'!N2</f>
        <v>1</v>
      </c>
      <c r="J262" s="104">
        <f>'ST 01005'!N12</f>
        <v>1.6117047899999999</v>
      </c>
      <c r="K262" s="104">
        <f>'ST 01005'!I25</f>
        <v>7.75</v>
      </c>
      <c r="L262" s="104">
        <v>0</v>
      </c>
      <c r="M262" s="104">
        <f>'ST 01005'!I29</f>
        <v>1.3333333333333333</v>
      </c>
      <c r="N262" s="104">
        <f t="shared" si="16"/>
        <v>10.695038123333333</v>
      </c>
      <c r="O262" s="105"/>
    </row>
    <row r="263" spans="1:15" ht="13.8" x14ac:dyDescent="0.25">
      <c r="A263" s="100">
        <v>257</v>
      </c>
      <c r="B263" s="101" t="s">
        <v>13</v>
      </c>
      <c r="C263" s="102" t="s">
        <v>373</v>
      </c>
      <c r="D263" s="103" t="s">
        <v>36</v>
      </c>
      <c r="E263" s="103" t="s">
        <v>363</v>
      </c>
      <c r="F263" s="101" t="str">
        <f>'ST 01006'!B4</f>
        <v>Steering Wheel</v>
      </c>
      <c r="G263" s="103"/>
      <c r="H263" s="104">
        <f t="shared" si="15"/>
        <v>16.333775000000003</v>
      </c>
      <c r="I263" s="968">
        <f>'ST 01006'!N2</f>
        <v>1</v>
      </c>
      <c r="J263" s="104">
        <f>'ST 01006'!N13</f>
        <v>3.7837750000000003</v>
      </c>
      <c r="K263" s="104">
        <f>'ST 01006'!I22</f>
        <v>12.55</v>
      </c>
      <c r="L263" s="104">
        <v>0</v>
      </c>
      <c r="M263" s="104">
        <v>0</v>
      </c>
      <c r="N263" s="104">
        <f t="shared" si="16"/>
        <v>16.333775000000003</v>
      </c>
      <c r="O263" s="105"/>
    </row>
    <row r="264" spans="1:15" ht="13.8" x14ac:dyDescent="0.25">
      <c r="A264" s="100">
        <v>258</v>
      </c>
      <c r="B264" s="101" t="s">
        <v>13</v>
      </c>
      <c r="C264" s="102" t="s">
        <v>375</v>
      </c>
      <c r="D264" s="103" t="s">
        <v>36</v>
      </c>
      <c r="E264" s="103" t="s">
        <v>363</v>
      </c>
      <c r="F264" s="101" t="str">
        <f>'ST 01007'!B4</f>
        <v>First column tube</v>
      </c>
      <c r="G264" s="103"/>
      <c r="H264" s="104">
        <f t="shared" si="15"/>
        <v>5.4952275999999998</v>
      </c>
      <c r="I264" s="968">
        <f>'ST 01007'!N2</f>
        <v>1</v>
      </c>
      <c r="J264" s="104">
        <f>'ST 01007'!N11</f>
        <v>0.90122759999999991</v>
      </c>
      <c r="K264" s="104">
        <f>'ST 01007'!I20</f>
        <v>4.5939999999999994</v>
      </c>
      <c r="L264" s="104">
        <v>0</v>
      </c>
      <c r="M264" s="104">
        <v>0</v>
      </c>
      <c r="N264" s="104">
        <f t="shared" si="16"/>
        <v>5.4952275999999998</v>
      </c>
      <c r="O264" s="105"/>
    </row>
    <row r="265" spans="1:15" ht="13.8" x14ac:dyDescent="0.25">
      <c r="A265" s="100">
        <v>259</v>
      </c>
      <c r="B265" s="101" t="s">
        <v>13</v>
      </c>
      <c r="C265" s="102" t="s">
        <v>377</v>
      </c>
      <c r="D265" s="103" t="s">
        <v>36</v>
      </c>
      <c r="E265" s="103" t="s">
        <v>363</v>
      </c>
      <c r="F265" s="101" t="str">
        <f>'ST 01008'!B4</f>
        <v>Second column tube</v>
      </c>
      <c r="G265" s="103"/>
      <c r="H265" s="104">
        <f t="shared" si="15"/>
        <v>1.102162708</v>
      </c>
      <c r="I265" s="968">
        <f>'ST 01008'!N2</f>
        <v>1</v>
      </c>
      <c r="J265" s="104">
        <f>'ST 01008'!N11</f>
        <v>0.102162708</v>
      </c>
      <c r="K265" s="104">
        <f>'ST 01008'!I16</f>
        <v>1</v>
      </c>
      <c r="L265" s="104">
        <v>0</v>
      </c>
      <c r="M265" s="104">
        <v>0</v>
      </c>
      <c r="N265" s="104">
        <f t="shared" si="16"/>
        <v>1.102162708</v>
      </c>
      <c r="O265" s="105"/>
    </row>
    <row r="266" spans="1:15" ht="13.8" x14ac:dyDescent="0.25">
      <c r="A266" s="100">
        <v>260</v>
      </c>
      <c r="B266" s="101" t="s">
        <v>13</v>
      </c>
      <c r="C266" s="102" t="s">
        <v>379</v>
      </c>
      <c r="D266" s="103" t="s">
        <v>36</v>
      </c>
      <c r="E266" s="103" t="s">
        <v>363</v>
      </c>
      <c r="F266" s="101" t="str">
        <f>'ST 01009'!B4</f>
        <v>Third column tube</v>
      </c>
      <c r="G266" s="103"/>
      <c r="H266" s="104">
        <f t="shared" si="15"/>
        <v>1.7412647084999999</v>
      </c>
      <c r="I266" s="968">
        <f>'ST 01009'!N2</f>
        <v>1</v>
      </c>
      <c r="J266" s="104">
        <f>'ST 01009'!N11</f>
        <v>0.39126470850000006</v>
      </c>
      <c r="K266" s="104">
        <f>'ST 01009'!I16</f>
        <v>1.3499999999999999</v>
      </c>
      <c r="L266" s="104">
        <v>0</v>
      </c>
      <c r="M266" s="104">
        <v>0</v>
      </c>
      <c r="N266" s="104">
        <f t="shared" si="16"/>
        <v>1.7412647084999999</v>
      </c>
      <c r="O266" s="105"/>
    </row>
    <row r="267" spans="1:15" ht="13.8" x14ac:dyDescent="0.25">
      <c r="A267" s="100">
        <v>261</v>
      </c>
      <c r="B267" s="101" t="s">
        <v>13</v>
      </c>
      <c r="C267" s="102" t="s">
        <v>2555</v>
      </c>
      <c r="D267" s="103" t="s">
        <v>36</v>
      </c>
      <c r="E267" s="103" t="s">
        <v>363</v>
      </c>
      <c r="F267" s="101" t="str">
        <f>'ST 01010'!B4</f>
        <v>Steering Wheel spacer</v>
      </c>
      <c r="G267" s="103"/>
      <c r="H267" s="104">
        <f>SUM(J267:M267)</f>
        <v>8.4876375666434107</v>
      </c>
      <c r="I267" s="968">
        <f>'ST 01010'!N2</f>
        <v>1</v>
      </c>
      <c r="J267" s="104">
        <f>'ST 01010'!N11</f>
        <v>1.3516375666434113</v>
      </c>
      <c r="K267" s="104">
        <f>'ST 01010'!I18</f>
        <v>7.1360000000000001</v>
      </c>
      <c r="L267" s="104">
        <v>0</v>
      </c>
      <c r="M267" s="104">
        <v>0</v>
      </c>
      <c r="N267" s="104">
        <f t="shared" si="16"/>
        <v>8.4876375666434107</v>
      </c>
      <c r="O267" s="105"/>
    </row>
    <row r="268" spans="1:15" ht="13.8" x14ac:dyDescent="0.25">
      <c r="A268" s="95">
        <v>262</v>
      </c>
      <c r="B268" s="96" t="s">
        <v>13</v>
      </c>
      <c r="C268" s="97" t="s">
        <v>381</v>
      </c>
      <c r="D268" s="97" t="s">
        <v>36</v>
      </c>
      <c r="E268" s="97"/>
      <c r="F268" s="96" t="s">
        <v>382</v>
      </c>
      <c r="G268" s="97"/>
      <c r="H268" s="98">
        <f t="shared" si="15"/>
        <v>5.7675884833333333</v>
      </c>
      <c r="I268" s="969">
        <f>'ST A0002'!N2</f>
        <v>1</v>
      </c>
      <c r="J268" s="98">
        <f>'ST A0002'!N17</f>
        <v>4.0092551500000004</v>
      </c>
      <c r="K268" s="98">
        <f>'ST A0002'!I23</f>
        <v>1.2449999999999999</v>
      </c>
      <c r="L268" s="98">
        <f>'ST A0002'!J27</f>
        <v>0.18</v>
      </c>
      <c r="M268" s="98">
        <f>'ST A0002'!I31</f>
        <v>0.33333333333333331</v>
      </c>
      <c r="N268" s="98">
        <f t="shared" si="16"/>
        <v>5.7675884833333333</v>
      </c>
      <c r="O268" s="99"/>
    </row>
    <row r="269" spans="1:15" ht="13.8" x14ac:dyDescent="0.25">
      <c r="A269" s="100">
        <v>263</v>
      </c>
      <c r="B269" s="101" t="s">
        <v>13</v>
      </c>
      <c r="C269" s="102" t="s">
        <v>383</v>
      </c>
      <c r="D269" s="103" t="s">
        <v>36</v>
      </c>
      <c r="E269" s="101" t="s">
        <v>382</v>
      </c>
      <c r="F269" s="101" t="str">
        <f>'ST 02001'!B4</f>
        <v>Quick Release Mount</v>
      </c>
      <c r="G269" s="103"/>
      <c r="H269" s="104">
        <f t="shared" si="15"/>
        <v>5.9925924500000001</v>
      </c>
      <c r="I269" s="968">
        <f>'ST 02001'!N2</f>
        <v>1</v>
      </c>
      <c r="J269" s="104">
        <f>'ST 02001'!N11</f>
        <v>0.63259244999999986</v>
      </c>
      <c r="K269" s="104">
        <f>'ST 02001'!I17</f>
        <v>5.36</v>
      </c>
      <c r="L269" s="104">
        <v>0</v>
      </c>
      <c r="M269" s="104">
        <v>0</v>
      </c>
      <c r="N269" s="104">
        <f t="shared" si="16"/>
        <v>5.9925924500000001</v>
      </c>
      <c r="O269" s="105"/>
    </row>
    <row r="270" spans="1:15" ht="13.8" x14ac:dyDescent="0.25">
      <c r="A270" s="100">
        <v>264</v>
      </c>
      <c r="B270" s="101" t="s">
        <v>13</v>
      </c>
      <c r="C270" s="102" t="s">
        <v>385</v>
      </c>
      <c r="D270" s="103" t="s">
        <v>36</v>
      </c>
      <c r="E270" s="101" t="s">
        <v>382</v>
      </c>
      <c r="F270" s="101" t="str">
        <f>'ST 02002'!B4</f>
        <v>Quick Release Sliding Part</v>
      </c>
      <c r="G270" s="103"/>
      <c r="H270" s="104">
        <f t="shared" si="15"/>
        <v>11.041439</v>
      </c>
      <c r="I270" s="968">
        <f>'ST 02002'!N2</f>
        <v>1</v>
      </c>
      <c r="J270" s="104">
        <f>'ST 02002'!N11</f>
        <v>2.4414389999999999</v>
      </c>
      <c r="K270" s="104">
        <f>'ST 02002'!I18</f>
        <v>8.6</v>
      </c>
      <c r="L270" s="104">
        <v>0</v>
      </c>
      <c r="M270" s="104">
        <v>0</v>
      </c>
      <c r="N270" s="104">
        <f t="shared" si="16"/>
        <v>11.041439</v>
      </c>
      <c r="O270" s="105"/>
    </row>
    <row r="271" spans="1:15" ht="13.8" x14ac:dyDescent="0.25">
      <c r="A271" s="100">
        <v>265</v>
      </c>
      <c r="B271" s="101" t="s">
        <v>13</v>
      </c>
      <c r="C271" s="102" t="s">
        <v>387</v>
      </c>
      <c r="D271" s="103" t="s">
        <v>36</v>
      </c>
      <c r="E271" s="101" t="s">
        <v>382</v>
      </c>
      <c r="F271" s="101" t="str">
        <f>'ST 02003'!B4</f>
        <v>Quick Release Fixed Part</v>
      </c>
      <c r="G271" s="103"/>
      <c r="H271" s="104">
        <f t="shared" si="15"/>
        <v>9.7414389999999997</v>
      </c>
      <c r="I271" s="968">
        <f>'ST 02003'!N2</f>
        <v>1</v>
      </c>
      <c r="J271" s="104">
        <f>'ST 02003'!N11</f>
        <v>2.4414389999999999</v>
      </c>
      <c r="K271" s="104">
        <f>'ST 02003'!I17</f>
        <v>7.3</v>
      </c>
      <c r="L271" s="104">
        <v>0</v>
      </c>
      <c r="M271" s="104">
        <v>0</v>
      </c>
      <c r="N271" s="104">
        <f t="shared" si="16"/>
        <v>9.7414389999999997</v>
      </c>
      <c r="O271" s="105"/>
    </row>
    <row r="272" spans="1:15" ht="13.8" x14ac:dyDescent="0.25">
      <c r="A272" s="95">
        <v>266</v>
      </c>
      <c r="B272" s="96" t="s">
        <v>13</v>
      </c>
      <c r="C272" s="97" t="s">
        <v>389</v>
      </c>
      <c r="D272" s="97" t="s">
        <v>36</v>
      </c>
      <c r="E272" s="97"/>
      <c r="F272" s="96" t="s">
        <v>390</v>
      </c>
      <c r="G272" s="97"/>
      <c r="H272" s="98">
        <f t="shared" si="15"/>
        <v>10.324916666666667</v>
      </c>
      <c r="I272" s="969">
        <f>'ST A0003'!N2</f>
        <v>2</v>
      </c>
      <c r="J272" s="98">
        <f>'ST A0003'!N18</f>
        <v>4.05</v>
      </c>
      <c r="K272" s="98">
        <f>'ST A0003'!I27</f>
        <v>5.2142499999999998</v>
      </c>
      <c r="L272" s="98">
        <f>'ST A0003'!J34</f>
        <v>0.39400000000000002</v>
      </c>
      <c r="M272" s="98">
        <f>'ST A0003'!I38</f>
        <v>0.66666666666666663</v>
      </c>
      <c r="N272" s="98">
        <f t="shared" si="16"/>
        <v>20.649833333333333</v>
      </c>
      <c r="O272" s="99"/>
    </row>
    <row r="273" spans="1:15" ht="13.8" x14ac:dyDescent="0.25">
      <c r="A273" s="100">
        <v>267</v>
      </c>
      <c r="B273" s="101" t="s">
        <v>13</v>
      </c>
      <c r="C273" s="102" t="s">
        <v>391</v>
      </c>
      <c r="D273" s="103" t="s">
        <v>36</v>
      </c>
      <c r="E273" s="103" t="s">
        <v>390</v>
      </c>
      <c r="F273" s="101" t="str">
        <f>'ST 03001'!B4</f>
        <v>Tie Rod Inserts</v>
      </c>
      <c r="G273" s="103"/>
      <c r="H273" s="104">
        <f t="shared" si="15"/>
        <v>0.94946809999999993</v>
      </c>
      <c r="I273" s="968">
        <f>'ST 03001'!N2</f>
        <v>4</v>
      </c>
      <c r="J273" s="104">
        <f>'ST 03001'!N11</f>
        <v>3.9968099999999999E-2</v>
      </c>
      <c r="K273" s="104">
        <f>'ST 03001'!I19</f>
        <v>0.90949999999999998</v>
      </c>
      <c r="L273" s="104">
        <v>0</v>
      </c>
      <c r="M273" s="104">
        <v>0</v>
      </c>
      <c r="N273" s="104">
        <f t="shared" si="16"/>
        <v>3.7978723999999997</v>
      </c>
      <c r="O273" s="105"/>
    </row>
    <row r="274" spans="1:15" ht="13.8" x14ac:dyDescent="0.25">
      <c r="A274" s="100">
        <v>268</v>
      </c>
      <c r="B274" s="101" t="s">
        <v>13</v>
      </c>
      <c r="C274" s="102" t="s">
        <v>393</v>
      </c>
      <c r="D274" s="103" t="s">
        <v>36</v>
      </c>
      <c r="E274" s="103" t="s">
        <v>390</v>
      </c>
      <c r="F274" s="101" t="str">
        <f>'ST 03002'!B4</f>
        <v>Upright tapered spacer</v>
      </c>
      <c r="G274" s="103"/>
      <c r="H274" s="104">
        <f t="shared" si="15"/>
        <v>0.69433489799999992</v>
      </c>
      <c r="I274" s="968">
        <f>'ST 03002'!N2</f>
        <v>4</v>
      </c>
      <c r="J274" s="104">
        <f>'ST 03002'!N11</f>
        <v>6.1348980000000006E-3</v>
      </c>
      <c r="K274" s="104">
        <f>'ST 03002'!I17</f>
        <v>0.68819999999999992</v>
      </c>
      <c r="L274" s="104">
        <v>0</v>
      </c>
      <c r="M274" s="104">
        <v>0</v>
      </c>
      <c r="N274" s="104">
        <f t="shared" si="16"/>
        <v>2.7773395919999997</v>
      </c>
      <c r="O274" s="105"/>
    </row>
    <row r="275" spans="1:15" ht="13.8" x14ac:dyDescent="0.25">
      <c r="A275" s="100">
        <v>269</v>
      </c>
      <c r="B275" s="101" t="s">
        <v>13</v>
      </c>
      <c r="C275" s="102" t="s">
        <v>395</v>
      </c>
      <c r="D275" s="103" t="s">
        <v>36</v>
      </c>
      <c r="E275" s="103" t="s">
        <v>390</v>
      </c>
      <c r="F275" s="101" t="str">
        <f>'ST 03003'!B4</f>
        <v>Rack tapered spacer</v>
      </c>
      <c r="G275" s="103"/>
      <c r="H275" s="104">
        <f t="shared" si="15"/>
        <v>0.69559338199999987</v>
      </c>
      <c r="I275" s="968">
        <f>'ST 03003'!N2</f>
        <v>4</v>
      </c>
      <c r="J275" s="104">
        <f>'ST 03003'!N11</f>
        <v>1.1393381999999999E-2</v>
      </c>
      <c r="K275" s="104">
        <f>'ST 03003'!I17</f>
        <v>0.68419999999999992</v>
      </c>
      <c r="L275" s="104">
        <v>0</v>
      </c>
      <c r="M275" s="104">
        <v>0</v>
      </c>
      <c r="N275" s="104">
        <f t="shared" si="16"/>
        <v>2.7823735279999995</v>
      </c>
      <c r="O275" s="105"/>
    </row>
    <row r="276" spans="1:15" ht="13.8" x14ac:dyDescent="0.25">
      <c r="A276" s="100">
        <v>270</v>
      </c>
      <c r="B276" s="101" t="s">
        <v>13</v>
      </c>
      <c r="C276" s="102" t="s">
        <v>397</v>
      </c>
      <c r="D276" s="103" t="s">
        <v>36</v>
      </c>
      <c r="E276" s="103" t="s">
        <v>390</v>
      </c>
      <c r="F276" s="101" t="str">
        <f>'ST 03004'!B4</f>
        <v>Rod tube</v>
      </c>
      <c r="G276" s="103"/>
      <c r="H276" s="104">
        <f t="shared" si="15"/>
        <v>0.53133410070000009</v>
      </c>
      <c r="I276" s="968">
        <f>'ST 03004'!N2</f>
        <v>2</v>
      </c>
      <c r="J276" s="104">
        <f>'ST 03004'!N11</f>
        <v>0.35133410070000004</v>
      </c>
      <c r="K276" s="104">
        <f>'ST 03004'!I15</f>
        <v>0.18</v>
      </c>
      <c r="L276" s="104">
        <v>0</v>
      </c>
      <c r="M276" s="104">
        <v>0</v>
      </c>
      <c r="N276" s="104">
        <f t="shared" si="16"/>
        <v>1.0626682014000002</v>
      </c>
      <c r="O276" s="105"/>
    </row>
    <row r="277" spans="1:15" ht="13.8" x14ac:dyDescent="0.25">
      <c r="A277" s="95">
        <v>271</v>
      </c>
      <c r="B277" s="96" t="s">
        <v>13</v>
      </c>
      <c r="C277" s="97" t="s">
        <v>399</v>
      </c>
      <c r="D277" s="97" t="s">
        <v>36</v>
      </c>
      <c r="E277" s="97"/>
      <c r="F277" s="96" t="s">
        <v>400</v>
      </c>
      <c r="G277" s="97"/>
      <c r="H277" s="98">
        <f t="shared" si="15"/>
        <v>9.649166666666666</v>
      </c>
      <c r="I277" s="969">
        <f>'ST A0004'!N2</f>
        <v>1</v>
      </c>
      <c r="J277" s="98">
        <f>'ST A0004'!N20</f>
        <v>0.5</v>
      </c>
      <c r="K277" s="98">
        <f>'ST A0004'!I34</f>
        <v>6.5625</v>
      </c>
      <c r="L277" s="98">
        <f>'ST A0004'!J42</f>
        <v>1.9200000000000002</v>
      </c>
      <c r="M277" s="98">
        <f>'ST A0004'!I46</f>
        <v>0.66666666666666663</v>
      </c>
      <c r="N277" s="98">
        <f t="shared" si="16"/>
        <v>9.649166666666666</v>
      </c>
      <c r="O277" s="99"/>
    </row>
    <row r="278" spans="1:15" ht="13.8" x14ac:dyDescent="0.25">
      <c r="A278" s="100">
        <v>272</v>
      </c>
      <c r="B278" s="101" t="s">
        <v>13</v>
      </c>
      <c r="C278" s="102" t="s">
        <v>401</v>
      </c>
      <c r="D278" s="103" t="s">
        <v>36</v>
      </c>
      <c r="E278" s="101" t="s">
        <v>400</v>
      </c>
      <c r="F278" s="101" t="str">
        <f>'ST 04001'!B4</f>
        <v>Rack</v>
      </c>
      <c r="G278" s="103"/>
      <c r="H278" s="104">
        <f t="shared" si="15"/>
        <v>3.6159270000000001</v>
      </c>
      <c r="I278" s="968">
        <f>'ST 04001'!N2</f>
        <v>1</v>
      </c>
      <c r="J278" s="104">
        <f>'ST 04001'!N11</f>
        <v>1.6659269999999999</v>
      </c>
      <c r="K278" s="104">
        <f>'ST 04001'!I16</f>
        <v>1.95</v>
      </c>
      <c r="L278" s="104">
        <v>0</v>
      </c>
      <c r="M278" s="104">
        <v>0</v>
      </c>
      <c r="N278" s="104">
        <f t="shared" si="16"/>
        <v>3.6159270000000001</v>
      </c>
      <c r="O278" s="105"/>
    </row>
    <row r="279" spans="1:15" ht="13.8" x14ac:dyDescent="0.25">
      <c r="A279" s="100">
        <v>273</v>
      </c>
      <c r="B279" s="101" t="s">
        <v>13</v>
      </c>
      <c r="C279" s="102" t="s">
        <v>403</v>
      </c>
      <c r="D279" s="103" t="s">
        <v>36</v>
      </c>
      <c r="E279" s="101" t="s">
        <v>400</v>
      </c>
      <c r="F279" s="101" t="str">
        <f>'ST 04002'!B4</f>
        <v>Rack pinion</v>
      </c>
      <c r="G279" s="103"/>
      <c r="H279" s="104">
        <f>SUM(J279:M279)</f>
        <v>10.3185</v>
      </c>
      <c r="I279" s="968">
        <f>'ST 04002'!N2</f>
        <v>1</v>
      </c>
      <c r="J279" s="104">
        <f>'ST 04002'!N11</f>
        <v>1.7685000000000004</v>
      </c>
      <c r="K279" s="104">
        <f>'ST 04002'!I17</f>
        <v>8.5500000000000007</v>
      </c>
      <c r="L279" s="104">
        <v>0</v>
      </c>
      <c r="M279" s="104">
        <v>0</v>
      </c>
      <c r="N279" s="104">
        <f t="shared" si="16"/>
        <v>10.3185</v>
      </c>
      <c r="O279" s="105"/>
    </row>
    <row r="280" spans="1:15" ht="13.8" x14ac:dyDescent="0.25">
      <c r="A280" s="100">
        <v>274</v>
      </c>
      <c r="B280" s="101" t="s">
        <v>13</v>
      </c>
      <c r="C280" s="102" t="s">
        <v>404</v>
      </c>
      <c r="D280" s="103" t="s">
        <v>36</v>
      </c>
      <c r="E280" s="101" t="s">
        <v>400</v>
      </c>
      <c r="F280" s="101" t="str">
        <f>'ST 04003'!B4</f>
        <v>Rack Housing</v>
      </c>
      <c r="G280" s="103"/>
      <c r="H280" s="104">
        <f>SUM(J280:M280)</f>
        <v>11.846666666666668</v>
      </c>
      <c r="I280" s="968">
        <f>'ST 04003'!N2</f>
        <v>1</v>
      </c>
      <c r="J280" s="104">
        <f>'ST 04003'!N11</f>
        <v>1.26</v>
      </c>
      <c r="K280" s="104">
        <f>'ST 04003'!I18</f>
        <v>3.92</v>
      </c>
      <c r="L280" s="104">
        <v>0</v>
      </c>
      <c r="M280" s="104">
        <f>'ST 04003'!I23</f>
        <v>6.666666666666667</v>
      </c>
      <c r="N280" s="104">
        <f t="shared" si="16"/>
        <v>11.846666666666668</v>
      </c>
      <c r="O280" s="105"/>
    </row>
    <row r="281" spans="1:15" ht="13.8" x14ac:dyDescent="0.25">
      <c r="A281" s="100">
        <v>275</v>
      </c>
      <c r="B281" s="101" t="s">
        <v>13</v>
      </c>
      <c r="C281" s="102" t="s">
        <v>406</v>
      </c>
      <c r="D281" s="103" t="s">
        <v>36</v>
      </c>
      <c r="E281" s="101" t="s">
        <v>400</v>
      </c>
      <c r="F281" s="101" t="str">
        <f>'ST 04004'!B4</f>
        <v>Lower rack mount</v>
      </c>
      <c r="G281" s="103"/>
      <c r="H281" s="104">
        <f>SUM(J281:M281)</f>
        <v>4.0850165000000001</v>
      </c>
      <c r="I281" s="968">
        <f>'ST 04004'!N2</f>
        <v>2</v>
      </c>
      <c r="J281" s="104">
        <f>'ST 04004'!N11</f>
        <v>1.0770165</v>
      </c>
      <c r="K281" s="104">
        <f>'ST 04004'!I17</f>
        <v>3.008</v>
      </c>
      <c r="L281" s="104">
        <v>0</v>
      </c>
      <c r="M281" s="104">
        <v>0</v>
      </c>
      <c r="N281" s="104">
        <f t="shared" si="16"/>
        <v>8.1700330000000001</v>
      </c>
      <c r="O281" s="105"/>
    </row>
    <row r="282" spans="1:15" ht="13.8" x14ac:dyDescent="0.25">
      <c r="A282" s="100">
        <v>276</v>
      </c>
      <c r="B282" s="101" t="s">
        <v>13</v>
      </c>
      <c r="C282" s="102" t="s">
        <v>407</v>
      </c>
      <c r="D282" s="103" t="s">
        <v>36</v>
      </c>
      <c r="E282" s="101" t="s">
        <v>400</v>
      </c>
      <c r="F282" s="101" t="str">
        <f>'ST 04005'!B4</f>
        <v>Upper Rack Mount</v>
      </c>
      <c r="G282" s="103"/>
      <c r="H282" s="104">
        <f>SUM(J282:M282)</f>
        <v>2.4324530400000004</v>
      </c>
      <c r="I282" s="968">
        <f>'ST 04005'!N2</f>
        <v>2</v>
      </c>
      <c r="J282" s="104">
        <f>'ST 04005'!N11</f>
        <v>0.22445304000000005</v>
      </c>
      <c r="K282" s="104">
        <f>'ST 04005'!I17</f>
        <v>2.2080000000000002</v>
      </c>
      <c r="L282" s="104">
        <v>0</v>
      </c>
      <c r="M282" s="104">
        <v>0</v>
      </c>
      <c r="N282" s="104">
        <f t="shared" si="16"/>
        <v>4.8649060800000008</v>
      </c>
      <c r="O282" s="105"/>
    </row>
    <row r="283" spans="1:15" ht="13.8" x14ac:dyDescent="0.25">
      <c r="A283" s="100">
        <v>277</v>
      </c>
      <c r="B283" s="101" t="s">
        <v>13</v>
      </c>
      <c r="C283" s="102" t="s">
        <v>409</v>
      </c>
      <c r="D283" s="103" t="s">
        <v>36</v>
      </c>
      <c r="E283" s="101" t="s">
        <v>400</v>
      </c>
      <c r="F283" s="101" t="str">
        <f>'ST 04006'!B4</f>
        <v>Tie rod mount</v>
      </c>
      <c r="G283" s="103"/>
      <c r="H283" s="104">
        <f t="shared" si="15"/>
        <v>2.1864576000000002</v>
      </c>
      <c r="I283" s="968">
        <f>'ST 04006'!N2</f>
        <v>2</v>
      </c>
      <c r="J283" s="104">
        <f>'ST 04006'!N11</f>
        <v>0.15845760000000003</v>
      </c>
      <c r="K283" s="104">
        <f>'ST 04006'!I17</f>
        <v>2.028</v>
      </c>
      <c r="L283" s="104">
        <v>0</v>
      </c>
      <c r="M283" s="104">
        <v>0</v>
      </c>
      <c r="N283" s="104">
        <f t="shared" si="16"/>
        <v>4.3729152000000004</v>
      </c>
      <c r="O283" s="105"/>
    </row>
    <row r="284" spans="1:15" ht="14.4" thickBot="1" x14ac:dyDescent="0.3">
      <c r="A284" s="100">
        <v>278</v>
      </c>
      <c r="B284" s="101" t="s">
        <v>13</v>
      </c>
      <c r="C284" s="102" t="s">
        <v>410</v>
      </c>
      <c r="D284" s="103" t="s">
        <v>36</v>
      </c>
      <c r="E284" s="101" t="s">
        <v>400</v>
      </c>
      <c r="F284" s="101" t="str">
        <f>'ST 04007'!B4</f>
        <v>Steering rack assembly</v>
      </c>
      <c r="G284" s="103"/>
      <c r="H284" s="104">
        <f t="shared" si="15"/>
        <v>6.6173479999999998</v>
      </c>
      <c r="I284" s="968">
        <f>'ST 04007'!N2</f>
        <v>1</v>
      </c>
      <c r="J284" s="104">
        <f>'ST 04007'!N12</f>
        <v>3.254848</v>
      </c>
      <c r="K284" s="104">
        <f>'ST 04007'!I19</f>
        <v>3.3624999999999998</v>
      </c>
      <c r="L284" s="104">
        <v>0</v>
      </c>
      <c r="M284" s="104">
        <v>0</v>
      </c>
      <c r="N284" s="104">
        <f t="shared" si="16"/>
        <v>6.6173479999999998</v>
      </c>
      <c r="O284" s="105"/>
    </row>
    <row r="285" spans="1:15" s="157" customFormat="1" ht="15" thickTop="1" thickBot="1" x14ac:dyDescent="0.3">
      <c r="A285" s="35">
        <v>279</v>
      </c>
      <c r="B285" s="36" t="s">
        <v>13</v>
      </c>
      <c r="C285" s="64"/>
      <c r="D285" s="64"/>
      <c r="E285" s="64"/>
      <c r="F285" s="36" t="s">
        <v>66</v>
      </c>
      <c r="G285" s="64"/>
      <c r="H285" s="38"/>
      <c r="I285" s="39"/>
      <c r="J285" s="41">
        <f>SUMPRODUCT($I257:$I284,J257:J284)</f>
        <v>110.50657237454342</v>
      </c>
      <c r="K285" s="41">
        <f>SUMPRODUCT($I257:$I284,K257:K284)</f>
        <v>138.95510000000004</v>
      </c>
      <c r="L285" s="41">
        <f>SUMPRODUCT($I257:$I284,L257:L284)</f>
        <v>4.008</v>
      </c>
      <c r="M285" s="41">
        <f>SUMPRODUCT($I257:$I284,M257:M284)</f>
        <v>11.333333333333334</v>
      </c>
      <c r="N285" s="41">
        <f>SUM(N257:N284)</f>
        <v>264.80300570787671</v>
      </c>
      <c r="O285" s="42"/>
    </row>
    <row r="286" spans="1:15" ht="14.4" thickTop="1" x14ac:dyDescent="0.25">
      <c r="A286" s="107">
        <v>280</v>
      </c>
      <c r="B286" s="108" t="s">
        <v>411</v>
      </c>
      <c r="C286" s="109" t="s">
        <v>412</v>
      </c>
      <c r="D286" s="109" t="s">
        <v>36</v>
      </c>
      <c r="E286" s="109"/>
      <c r="F286" s="108" t="s">
        <v>413</v>
      </c>
      <c r="G286" s="109"/>
      <c r="H286" s="110">
        <f>SUM(J286:M286)</f>
        <v>45.704224276870427</v>
      </c>
      <c r="I286" s="970">
        <f>'SU A0001'!N2</f>
        <v>2</v>
      </c>
      <c r="J286" s="110">
        <f>'SU A0001'!N22</f>
        <v>22.732140943537093</v>
      </c>
      <c r="K286" s="110">
        <f>'SU A0001'!I38</f>
        <v>12.23875</v>
      </c>
      <c r="L286" s="110">
        <f>'SU A0001'!J44</f>
        <v>1.4</v>
      </c>
      <c r="M286" s="110">
        <f>'SU A0001'!I48</f>
        <v>9.3333333333333339</v>
      </c>
      <c r="N286" s="110">
        <f>H286*I286</f>
        <v>91.408448553740854</v>
      </c>
      <c r="O286" s="111"/>
    </row>
    <row r="287" spans="1:15" ht="13.8" x14ac:dyDescent="0.25">
      <c r="A287" s="112">
        <v>281</v>
      </c>
      <c r="B287" s="113" t="s">
        <v>411</v>
      </c>
      <c r="C287" s="114" t="s">
        <v>414</v>
      </c>
      <c r="D287" s="115" t="s">
        <v>36</v>
      </c>
      <c r="E287" s="115" t="s">
        <v>413</v>
      </c>
      <c r="F287" s="113" t="str">
        <f>'SU 01001'!B4</f>
        <v>Lower Front A arm mounts</v>
      </c>
      <c r="G287" s="115"/>
      <c r="H287" s="116">
        <f>SUM(J287:M287)</f>
        <v>8.6960713999999992</v>
      </c>
      <c r="I287" s="971">
        <f>'SU 01001'!N2</f>
        <v>4</v>
      </c>
      <c r="J287" s="116">
        <f>'SU 01001'!N11</f>
        <v>0.60907140000000004</v>
      </c>
      <c r="K287" s="116">
        <f>'SU 01001'!I22</f>
        <v>8.0869999999999997</v>
      </c>
      <c r="L287" s="116">
        <v>0</v>
      </c>
      <c r="M287" s="116">
        <v>0</v>
      </c>
      <c r="N287" s="116">
        <f>H287*I287</f>
        <v>34.784285599999997</v>
      </c>
      <c r="O287" s="117"/>
    </row>
    <row r="288" spans="1:15" ht="13.8" x14ac:dyDescent="0.25">
      <c r="A288" s="112">
        <v>282</v>
      </c>
      <c r="B288" s="113" t="s">
        <v>411</v>
      </c>
      <c r="C288" s="114" t="s">
        <v>416</v>
      </c>
      <c r="D288" s="115" t="s">
        <v>36</v>
      </c>
      <c r="E288" s="115" t="s">
        <v>413</v>
      </c>
      <c r="F288" s="113" t="str">
        <f>'SU 01002'!B4</f>
        <v>Simple insert</v>
      </c>
      <c r="G288" s="115"/>
      <c r="H288" s="116">
        <f>SUM(J288:M288)</f>
        <v>3.1523818481530936</v>
      </c>
      <c r="I288" s="971">
        <f>'SU 01002'!N2</f>
        <v>8</v>
      </c>
      <c r="J288" s="116">
        <f>'SU 01002'!N11</f>
        <v>0.10838184815309328</v>
      </c>
      <c r="K288" s="116">
        <f>'SU 01002'!I18</f>
        <v>3.0440000000000005</v>
      </c>
      <c r="L288" s="116">
        <v>0</v>
      </c>
      <c r="M288" s="116">
        <v>0</v>
      </c>
      <c r="N288" s="116">
        <f>H288*I288</f>
        <v>25.219054785224749</v>
      </c>
      <c r="O288" s="117"/>
    </row>
    <row r="289" spans="1:15" ht="13.8" x14ac:dyDescent="0.25">
      <c r="A289" s="112">
        <v>283</v>
      </c>
      <c r="B289" s="113" t="s">
        <v>411</v>
      </c>
      <c r="C289" s="114" t="s">
        <v>418</v>
      </c>
      <c r="D289" s="115" t="s">
        <v>36</v>
      </c>
      <c r="E289" s="115" t="s">
        <v>413</v>
      </c>
      <c r="F289" s="113" t="str">
        <f>'SU 01003'!B4</f>
        <v>Simple Bearing support</v>
      </c>
      <c r="G289" s="115"/>
      <c r="H289" s="116">
        <f t="shared" ref="H289:H297" si="17">SUM(J289:M289)</f>
        <v>2.1118244800000001</v>
      </c>
      <c r="I289" s="971">
        <f>'SU 01003'!N2</f>
        <v>4</v>
      </c>
      <c r="J289" s="116">
        <f>'SU 01003'!N11</f>
        <v>0.20882448000000001</v>
      </c>
      <c r="K289" s="116">
        <f>'SU 01003'!I16</f>
        <v>1.903</v>
      </c>
      <c r="L289" s="116">
        <v>0</v>
      </c>
      <c r="M289" s="116">
        <v>0</v>
      </c>
      <c r="N289" s="116">
        <f t="shared" ref="N289:N352" si="18">H289*I289</f>
        <v>8.4472979200000005</v>
      </c>
      <c r="O289" s="117"/>
    </row>
    <row r="290" spans="1:15" ht="13.8" x14ac:dyDescent="0.25">
      <c r="A290" s="112">
        <v>284</v>
      </c>
      <c r="B290" s="113" t="s">
        <v>411</v>
      </c>
      <c r="C290" s="114" t="s">
        <v>420</v>
      </c>
      <c r="D290" s="115" t="s">
        <v>36</v>
      </c>
      <c r="E290" s="115" t="s">
        <v>413</v>
      </c>
      <c r="F290" s="113" t="str">
        <f>'SU 01004'!B4</f>
        <v>Lower front double bearing support</v>
      </c>
      <c r="G290" s="115"/>
      <c r="H290" s="116">
        <f t="shared" si="17"/>
        <v>2.2411917099999998</v>
      </c>
      <c r="I290" s="971">
        <f>'SU 01004'!N2</f>
        <v>2</v>
      </c>
      <c r="J290" s="116">
        <f>'SU 01004'!N11</f>
        <v>0.31419171000000001</v>
      </c>
      <c r="K290" s="116">
        <f>'SU 01004'!I16</f>
        <v>1.927</v>
      </c>
      <c r="L290" s="116">
        <v>0</v>
      </c>
      <c r="M290" s="116">
        <v>0</v>
      </c>
      <c r="N290" s="116">
        <f t="shared" si="18"/>
        <v>4.4823834199999997</v>
      </c>
      <c r="O290" s="117"/>
    </row>
    <row r="291" spans="1:15" ht="13.8" x14ac:dyDescent="0.25">
      <c r="A291" s="112">
        <v>285</v>
      </c>
      <c r="B291" s="113" t="s">
        <v>411</v>
      </c>
      <c r="C291" s="114" t="s">
        <v>421</v>
      </c>
      <c r="D291" s="115" t="s">
        <v>36</v>
      </c>
      <c r="E291" s="115" t="s">
        <v>413</v>
      </c>
      <c r="F291" s="113" t="str">
        <f>'SU 01005'!B4</f>
        <v>Spacer</v>
      </c>
      <c r="G291" s="115"/>
      <c r="H291" s="116">
        <f t="shared" si="17"/>
        <v>0.19698183107117939</v>
      </c>
      <c r="I291" s="971">
        <f>'SU 01005'!N2</f>
        <v>8</v>
      </c>
      <c r="J291" s="116">
        <f>'SU 01005'!N11</f>
        <v>1.4481831071179405E-2</v>
      </c>
      <c r="K291" s="116">
        <f>'SU 01005'!I16</f>
        <v>0.1825</v>
      </c>
      <c r="L291" s="116">
        <v>0</v>
      </c>
      <c r="M291" s="116">
        <v>0</v>
      </c>
      <c r="N291" s="116">
        <f t="shared" si="18"/>
        <v>1.5758546485694351</v>
      </c>
      <c r="O291" s="117"/>
    </row>
    <row r="292" spans="1:15" ht="13.8" x14ac:dyDescent="0.25">
      <c r="A292" s="107">
        <v>286</v>
      </c>
      <c r="B292" s="108" t="s">
        <v>411</v>
      </c>
      <c r="C292" s="109" t="s">
        <v>422</v>
      </c>
      <c r="D292" s="109" t="s">
        <v>36</v>
      </c>
      <c r="E292" s="109"/>
      <c r="F292" s="108" t="s">
        <v>423</v>
      </c>
      <c r="G292" s="109"/>
      <c r="H292" s="110">
        <f t="shared" si="17"/>
        <v>47.774224276870427</v>
      </c>
      <c r="I292" s="970">
        <f>'SU A0002'!N2</f>
        <v>2</v>
      </c>
      <c r="J292" s="110">
        <f>'SU A0002'!N22</f>
        <v>22.732140943537093</v>
      </c>
      <c r="K292" s="110">
        <f>'SU A0002'!I41</f>
        <v>14.188749999999999</v>
      </c>
      <c r="L292" s="110">
        <f>'SU A0002'!J49</f>
        <v>1.5199999999999998</v>
      </c>
      <c r="M292" s="110">
        <f>'SU A0002'!I53</f>
        <v>9.3333333333333339</v>
      </c>
      <c r="N292" s="110">
        <f t="shared" si="18"/>
        <v>95.548448553740855</v>
      </c>
      <c r="O292" s="111"/>
    </row>
    <row r="293" spans="1:15" ht="13.8" x14ac:dyDescent="0.25">
      <c r="A293" s="112">
        <v>287</v>
      </c>
      <c r="B293" s="113" t="s">
        <v>411</v>
      </c>
      <c r="C293" s="114" t="s">
        <v>424</v>
      </c>
      <c r="D293" s="115" t="s">
        <v>36</v>
      </c>
      <c r="E293" s="115" t="s">
        <v>423</v>
      </c>
      <c r="F293" s="113" t="str">
        <f>'SU 02001'!B4</f>
        <v>Upper Front A-Arms</v>
      </c>
      <c r="G293" s="115"/>
      <c r="H293" s="116">
        <f t="shared" si="17"/>
        <v>9.0943483999999994</v>
      </c>
      <c r="I293" s="971">
        <f>'SU 02001'!N2</f>
        <v>4</v>
      </c>
      <c r="J293" s="116">
        <f>'SU 02001'!N11</f>
        <v>0.68334839999999997</v>
      </c>
      <c r="K293" s="116">
        <f>'SU 02001'!I22</f>
        <v>8.4109999999999996</v>
      </c>
      <c r="L293" s="116">
        <v>0</v>
      </c>
      <c r="M293" s="116">
        <v>0</v>
      </c>
      <c r="N293" s="116">
        <f t="shared" si="18"/>
        <v>36.377393599999998</v>
      </c>
      <c r="O293" s="117"/>
    </row>
    <row r="294" spans="1:15" ht="13.8" x14ac:dyDescent="0.25">
      <c r="A294" s="112">
        <v>288</v>
      </c>
      <c r="B294" s="113" t="s">
        <v>411</v>
      </c>
      <c r="C294" s="114" t="s">
        <v>426</v>
      </c>
      <c r="D294" s="115" t="s">
        <v>36</v>
      </c>
      <c r="E294" s="115" t="s">
        <v>423</v>
      </c>
      <c r="F294" s="113" t="str">
        <f>'SU 02002'!B4</f>
        <v>Simple insert</v>
      </c>
      <c r="G294" s="115"/>
      <c r="H294" s="116">
        <f t="shared" si="17"/>
        <v>3.1523818481530936</v>
      </c>
      <c r="I294" s="971">
        <f>'SU 02002'!N2</f>
        <v>4</v>
      </c>
      <c r="J294" s="116">
        <f>'SU 02002'!N11</f>
        <v>0.10838184815309328</v>
      </c>
      <c r="K294" s="116">
        <f>'SU 02002'!I18</f>
        <v>3.0440000000000005</v>
      </c>
      <c r="L294" s="116">
        <v>0</v>
      </c>
      <c r="M294" s="116">
        <v>0</v>
      </c>
      <c r="N294" s="116">
        <f t="shared" si="18"/>
        <v>12.609527392612375</v>
      </c>
      <c r="O294" s="117"/>
    </row>
    <row r="295" spans="1:15" ht="13.8" x14ac:dyDescent="0.25">
      <c r="A295" s="112">
        <v>289</v>
      </c>
      <c r="B295" s="113" t="s">
        <v>411</v>
      </c>
      <c r="C295" s="114" t="s">
        <v>427</v>
      </c>
      <c r="D295" s="115" t="s">
        <v>36</v>
      </c>
      <c r="E295" s="115" t="s">
        <v>423</v>
      </c>
      <c r="F295" s="113" t="str">
        <f>'SU 02003'!B4</f>
        <v>Simple Bearing support</v>
      </c>
      <c r="G295" s="115"/>
      <c r="H295" s="116">
        <f t="shared" si="17"/>
        <v>4.3912299199999998</v>
      </c>
      <c r="I295" s="971">
        <f>'SU 02003'!N2</f>
        <v>4</v>
      </c>
      <c r="J295" s="116">
        <f>'SU 02003'!N11</f>
        <v>0.25522992000000005</v>
      </c>
      <c r="K295" s="116">
        <f>'SU 02003'!I20</f>
        <v>4.1360000000000001</v>
      </c>
      <c r="L295" s="116">
        <v>0</v>
      </c>
      <c r="M295" s="116">
        <v>0</v>
      </c>
      <c r="N295" s="116">
        <f t="shared" si="18"/>
        <v>17.564919679999999</v>
      </c>
      <c r="O295" s="117"/>
    </row>
    <row r="296" spans="1:15" ht="13.8" x14ac:dyDescent="0.25">
      <c r="A296" s="112">
        <v>290</v>
      </c>
      <c r="B296" s="113" t="s">
        <v>411</v>
      </c>
      <c r="C296" s="114" t="s">
        <v>428</v>
      </c>
      <c r="D296" s="115" t="s">
        <v>36</v>
      </c>
      <c r="E296" s="115" t="s">
        <v>423</v>
      </c>
      <c r="F296" s="118" t="str">
        <f>'SU 02004'!B4</f>
        <v>Upper front double bearing support</v>
      </c>
      <c r="G296" s="115"/>
      <c r="H296" s="116">
        <f t="shared" si="17"/>
        <v>35.859010900000015</v>
      </c>
      <c r="I296" s="971">
        <f>'SU 02004'!N2</f>
        <v>2</v>
      </c>
      <c r="J296" s="116">
        <f>'SU 02004'!N11</f>
        <v>3.7340109000000008</v>
      </c>
      <c r="K296" s="116">
        <f>'SU 02004'!I32</f>
        <v>32.125000000000014</v>
      </c>
      <c r="L296" s="116">
        <v>0</v>
      </c>
      <c r="M296" s="116">
        <v>0</v>
      </c>
      <c r="N296" s="116">
        <f t="shared" si="18"/>
        <v>71.718021800000031</v>
      </c>
      <c r="O296" s="117"/>
    </row>
    <row r="297" spans="1:15" ht="13.8" x14ac:dyDescent="0.25">
      <c r="A297" s="112">
        <v>291</v>
      </c>
      <c r="B297" s="113" t="s">
        <v>411</v>
      </c>
      <c r="C297" s="114" t="s">
        <v>429</v>
      </c>
      <c r="D297" s="115" t="s">
        <v>36</v>
      </c>
      <c r="E297" s="115" t="s">
        <v>423</v>
      </c>
      <c r="F297" s="113" t="str">
        <f>'SU 02005'!B4</f>
        <v>Spacer</v>
      </c>
      <c r="G297" s="115"/>
      <c r="H297" s="116">
        <f t="shared" si="17"/>
        <v>0.19698183107117939</v>
      </c>
      <c r="I297" s="971">
        <f>'SU 02005'!N2</f>
        <v>8</v>
      </c>
      <c r="J297" s="116">
        <f>'SU 02005'!N11</f>
        <v>1.4481831071179405E-2</v>
      </c>
      <c r="K297" s="116">
        <f>'SU 02005'!I16</f>
        <v>0.1825</v>
      </c>
      <c r="L297" s="116">
        <v>0</v>
      </c>
      <c r="M297" s="116">
        <v>0</v>
      </c>
      <c r="N297" s="116">
        <f t="shared" si="18"/>
        <v>1.5758546485694351</v>
      </c>
      <c r="O297" s="117"/>
    </row>
    <row r="298" spans="1:15" ht="13.8" x14ac:dyDescent="0.25">
      <c r="A298" s="107">
        <v>292</v>
      </c>
      <c r="B298" s="108" t="s">
        <v>411</v>
      </c>
      <c r="C298" s="109" t="s">
        <v>430</v>
      </c>
      <c r="D298" s="109" t="s">
        <v>36</v>
      </c>
      <c r="E298" s="109"/>
      <c r="F298" s="108" t="s">
        <v>431</v>
      </c>
      <c r="G298" s="109"/>
      <c r="H298" s="110">
        <f>SUM(J298:M298)</f>
        <v>43.107557610203756</v>
      </c>
      <c r="I298" s="970">
        <f>'SU A0003'!N2</f>
        <v>2</v>
      </c>
      <c r="J298" s="110">
        <f>'SU A0003'!N23</f>
        <v>22.732140943537093</v>
      </c>
      <c r="K298" s="110">
        <f>'SU A0003'!I42</f>
        <v>14.188749999999999</v>
      </c>
      <c r="L298" s="110">
        <f>'SU A0003'!J50</f>
        <v>1.5199999999999998</v>
      </c>
      <c r="M298" s="110">
        <f>'SU A0003'!I54</f>
        <v>4.666666666666667</v>
      </c>
      <c r="N298" s="110">
        <f t="shared" si="18"/>
        <v>86.215115220407512</v>
      </c>
      <c r="O298" s="111"/>
    </row>
    <row r="299" spans="1:15" ht="13.8" x14ac:dyDescent="0.25">
      <c r="A299" s="112">
        <v>293</v>
      </c>
      <c r="B299" s="113" t="s">
        <v>411</v>
      </c>
      <c r="C299" s="114" t="s">
        <v>432</v>
      </c>
      <c r="D299" s="115" t="s">
        <v>36</v>
      </c>
      <c r="E299" s="113" t="s">
        <v>431</v>
      </c>
      <c r="F299" s="113" t="str">
        <f>'SU 03001'!B4</f>
        <v>Lower Rear A arm Front mounts</v>
      </c>
      <c r="G299" s="115"/>
      <c r="H299" s="116">
        <f t="shared" ref="H299:H309" si="19">SUM(J299:M299)</f>
        <v>8.6272738399999973</v>
      </c>
      <c r="I299" s="971">
        <f>'SU 03001'!N2</f>
        <v>2</v>
      </c>
      <c r="J299" s="116">
        <f>'SU 03001'!N11</f>
        <v>0.58827384000000005</v>
      </c>
      <c r="K299" s="116">
        <f>'SU 03001'!I22</f>
        <v>8.0389999999999979</v>
      </c>
      <c r="L299" s="116">
        <v>0</v>
      </c>
      <c r="M299" s="116">
        <v>0</v>
      </c>
      <c r="N299" s="116">
        <f t="shared" si="18"/>
        <v>17.254547679999995</v>
      </c>
      <c r="O299" s="117"/>
    </row>
    <row r="300" spans="1:15" ht="13.8" x14ac:dyDescent="0.25">
      <c r="A300" s="112">
        <v>294</v>
      </c>
      <c r="B300" s="113" t="s">
        <v>411</v>
      </c>
      <c r="C300" s="114" t="s">
        <v>433</v>
      </c>
      <c r="D300" s="115" t="s">
        <v>36</v>
      </c>
      <c r="E300" s="113" t="s">
        <v>431</v>
      </c>
      <c r="F300" s="113" t="str">
        <f>'SU 03002'!B4</f>
        <v>Lower Rear A arm Rear mounts</v>
      </c>
      <c r="G300" s="115"/>
      <c r="H300" s="116">
        <f t="shared" si="19"/>
        <v>10.563273839999999</v>
      </c>
      <c r="I300" s="971">
        <f>'SU 03002'!N2</f>
        <v>2</v>
      </c>
      <c r="J300" s="116">
        <f>'SU 03002'!N11</f>
        <v>0.58827384000000005</v>
      </c>
      <c r="K300" s="116">
        <f>'SU 03002'!I24</f>
        <v>9.9749999999999996</v>
      </c>
      <c r="L300" s="116">
        <v>0</v>
      </c>
      <c r="M300" s="116">
        <v>0</v>
      </c>
      <c r="N300" s="116">
        <f t="shared" si="18"/>
        <v>21.126547679999998</v>
      </c>
      <c r="O300" s="117"/>
    </row>
    <row r="301" spans="1:15" ht="13.8" x14ac:dyDescent="0.25">
      <c r="A301" s="112">
        <v>295</v>
      </c>
      <c r="B301" s="113" t="s">
        <v>411</v>
      </c>
      <c r="C301" s="114" t="s">
        <v>434</v>
      </c>
      <c r="D301" s="115" t="s">
        <v>36</v>
      </c>
      <c r="E301" s="113" t="s">
        <v>431</v>
      </c>
      <c r="F301" s="113" t="str">
        <f>'SU 03003'!B4</f>
        <v>Simple insert</v>
      </c>
      <c r="G301" s="115"/>
      <c r="H301" s="116">
        <f t="shared" si="19"/>
        <v>3.1523818481530936</v>
      </c>
      <c r="I301" s="971">
        <f>'SU 03003'!N2</f>
        <v>4</v>
      </c>
      <c r="J301" s="116">
        <f>'SU 03003'!N11</f>
        <v>0.10838184815309328</v>
      </c>
      <c r="K301" s="116">
        <f>'SU 03003'!I18</f>
        <v>3.0440000000000005</v>
      </c>
      <c r="L301" s="116">
        <v>0</v>
      </c>
      <c r="M301" s="116">
        <v>0</v>
      </c>
      <c r="N301" s="116">
        <f t="shared" si="18"/>
        <v>12.609527392612375</v>
      </c>
      <c r="O301" s="117"/>
    </row>
    <row r="302" spans="1:15" ht="13.8" x14ac:dyDescent="0.25">
      <c r="A302" s="112">
        <v>296</v>
      </c>
      <c r="B302" s="113" t="s">
        <v>411</v>
      </c>
      <c r="C302" s="114" t="s">
        <v>435</v>
      </c>
      <c r="D302" s="115" t="s">
        <v>36</v>
      </c>
      <c r="E302" s="113" t="s">
        <v>431</v>
      </c>
      <c r="F302" s="113" t="str">
        <f>'SU 03004'!B4</f>
        <v>Bearing support</v>
      </c>
      <c r="G302" s="115"/>
      <c r="H302" s="116">
        <f t="shared" si="19"/>
        <v>4.3912299199999998</v>
      </c>
      <c r="I302" s="971">
        <f>'SU 03004'!N2</f>
        <v>4</v>
      </c>
      <c r="J302" s="116">
        <f>'SU 03004'!N11</f>
        <v>0.25522992000000005</v>
      </c>
      <c r="K302" s="116">
        <f>'SU 03004'!I20</f>
        <v>4.1360000000000001</v>
      </c>
      <c r="L302" s="116">
        <v>0</v>
      </c>
      <c r="M302" s="116">
        <v>0</v>
      </c>
      <c r="N302" s="116">
        <f t="shared" si="18"/>
        <v>17.564919679999999</v>
      </c>
      <c r="O302" s="117"/>
    </row>
    <row r="303" spans="1:15" ht="13.8" x14ac:dyDescent="0.25">
      <c r="A303" s="112">
        <v>297</v>
      </c>
      <c r="B303" s="113" t="s">
        <v>411</v>
      </c>
      <c r="C303" s="114" t="s">
        <v>436</v>
      </c>
      <c r="D303" s="115" t="s">
        <v>36</v>
      </c>
      <c r="E303" s="113" t="s">
        <v>431</v>
      </c>
      <c r="F303" s="113" t="str">
        <f>'SU 03005'!B4</f>
        <v>Lower rear double insert</v>
      </c>
      <c r="G303" s="115"/>
      <c r="H303" s="116">
        <f t="shared" si="19"/>
        <v>15.847862640000002</v>
      </c>
      <c r="I303" s="971">
        <f>'SU 03005'!N2</f>
        <v>2</v>
      </c>
      <c r="J303" s="116">
        <f>'SU 03005'!N11</f>
        <v>1.6578626400000003</v>
      </c>
      <c r="K303" s="116">
        <f>'SU 03005'!I27</f>
        <v>14.190000000000001</v>
      </c>
      <c r="L303" s="116">
        <v>0</v>
      </c>
      <c r="M303" s="116">
        <v>0</v>
      </c>
      <c r="N303" s="116">
        <f t="shared" si="18"/>
        <v>31.695725280000005</v>
      </c>
      <c r="O303" s="117"/>
    </row>
    <row r="304" spans="1:15" ht="13.8" x14ac:dyDescent="0.25">
      <c r="A304" s="112">
        <v>298</v>
      </c>
      <c r="B304" s="113" t="s">
        <v>411</v>
      </c>
      <c r="C304" s="114" t="s">
        <v>437</v>
      </c>
      <c r="D304" s="115" t="s">
        <v>36</v>
      </c>
      <c r="E304" s="113" t="s">
        <v>431</v>
      </c>
      <c r="F304" s="113" t="str">
        <f>'SU 03006'!B4</f>
        <v>Spacer</v>
      </c>
      <c r="G304" s="115"/>
      <c r="H304" s="116">
        <f t="shared" si="19"/>
        <v>0.19698183107117939</v>
      </c>
      <c r="I304" s="971">
        <f>'SU 03006'!N2</f>
        <v>8</v>
      </c>
      <c r="J304" s="116">
        <f>'SU 03006'!N11</f>
        <v>1.4481831071179405E-2</v>
      </c>
      <c r="K304" s="116">
        <f>'SU 03006'!I16</f>
        <v>0.1825</v>
      </c>
      <c r="L304" s="116">
        <v>0</v>
      </c>
      <c r="M304" s="116">
        <v>0</v>
      </c>
      <c r="N304" s="116">
        <f t="shared" si="18"/>
        <v>1.5758546485694351</v>
      </c>
      <c r="O304" s="117"/>
    </row>
    <row r="305" spans="1:15" ht="13.8" x14ac:dyDescent="0.25">
      <c r="A305" s="107">
        <v>299</v>
      </c>
      <c r="B305" s="108" t="s">
        <v>411</v>
      </c>
      <c r="C305" s="109" t="s">
        <v>438</v>
      </c>
      <c r="D305" s="109" t="s">
        <v>36</v>
      </c>
      <c r="E305" s="109"/>
      <c r="F305" s="108" t="s">
        <v>439</v>
      </c>
      <c r="G305" s="109"/>
      <c r="H305" s="110">
        <f t="shared" si="19"/>
        <v>76.389807610203761</v>
      </c>
      <c r="I305" s="970">
        <f>'SU A0004'!N2</f>
        <v>2</v>
      </c>
      <c r="J305" s="110">
        <f>'SU A0004'!N26</f>
        <v>45.152140943537091</v>
      </c>
      <c r="K305" s="110">
        <f>'SU A0004'!I52</f>
        <v>24.151</v>
      </c>
      <c r="L305" s="110">
        <f>'SU A0004'!J61</f>
        <v>2.42</v>
      </c>
      <c r="M305" s="110">
        <f>'SU A0004'!I65</f>
        <v>4.666666666666667</v>
      </c>
      <c r="N305" s="110">
        <f t="shared" si="18"/>
        <v>152.77961522040752</v>
      </c>
      <c r="O305" s="111"/>
    </row>
    <row r="306" spans="1:15" ht="13.8" x14ac:dyDescent="0.25">
      <c r="A306" s="112">
        <v>300</v>
      </c>
      <c r="B306" s="113" t="s">
        <v>411</v>
      </c>
      <c r="C306" s="114" t="s">
        <v>440</v>
      </c>
      <c r="D306" s="115" t="s">
        <v>36</v>
      </c>
      <c r="E306" s="113" t="s">
        <v>439</v>
      </c>
      <c r="F306" s="113" t="str">
        <f>'SU 04001'!B4</f>
        <v>Upper Rear A arm  Front mounts</v>
      </c>
      <c r="G306" s="115"/>
      <c r="H306" s="116">
        <f t="shared" si="19"/>
        <v>8.7889846399999989</v>
      </c>
      <c r="I306" s="971">
        <f>'SU 04001'!N2</f>
        <v>2</v>
      </c>
      <c r="J306" s="116">
        <f>'SU 04001'!N11</f>
        <v>0.61798463999999997</v>
      </c>
      <c r="K306" s="116">
        <f>'SU 04001'!I22</f>
        <v>8.1709999999999994</v>
      </c>
      <c r="L306" s="116">
        <v>0</v>
      </c>
      <c r="M306" s="116">
        <v>0</v>
      </c>
      <c r="N306" s="116">
        <f t="shared" si="18"/>
        <v>17.577969279999998</v>
      </c>
      <c r="O306" s="117"/>
    </row>
    <row r="307" spans="1:15" ht="13.8" x14ac:dyDescent="0.25">
      <c r="A307" s="112">
        <v>301</v>
      </c>
      <c r="B307" s="113" t="s">
        <v>411</v>
      </c>
      <c r="C307" s="114" t="s">
        <v>441</v>
      </c>
      <c r="D307" s="115" t="s">
        <v>36</v>
      </c>
      <c r="E307" s="113" t="s">
        <v>439</v>
      </c>
      <c r="F307" s="113" t="str">
        <f>'SU 04002'!B4</f>
        <v>Upper Rear A arm  Rear mounts</v>
      </c>
      <c r="G307" s="115"/>
      <c r="H307" s="116">
        <f t="shared" si="19"/>
        <v>11.141974400000001</v>
      </c>
      <c r="I307" s="971">
        <f>'SU 04002'!N2</f>
        <v>2</v>
      </c>
      <c r="J307" s="116">
        <f>'SU 04002'!N11</f>
        <v>1.0299744</v>
      </c>
      <c r="K307" s="116">
        <f>'SU 04002'!I22</f>
        <v>10.112</v>
      </c>
      <c r="L307" s="116">
        <v>0</v>
      </c>
      <c r="M307" s="116">
        <v>0</v>
      </c>
      <c r="N307" s="116">
        <f t="shared" si="18"/>
        <v>22.283948800000001</v>
      </c>
      <c r="O307" s="117"/>
    </row>
    <row r="308" spans="1:15" ht="13.8" x14ac:dyDescent="0.25">
      <c r="A308" s="112">
        <v>302</v>
      </c>
      <c r="B308" s="113" t="s">
        <v>411</v>
      </c>
      <c r="C308" s="114" t="s">
        <v>442</v>
      </c>
      <c r="D308" s="115" t="s">
        <v>36</v>
      </c>
      <c r="E308" s="113" t="s">
        <v>439</v>
      </c>
      <c r="F308" s="113" t="str">
        <f>'SU 04003'!B4</f>
        <v>Simple insert</v>
      </c>
      <c r="G308" s="115"/>
      <c r="H308" s="116">
        <f t="shared" si="19"/>
        <v>3.1523818481530936</v>
      </c>
      <c r="I308" s="971">
        <f>'SU 04003'!N2</f>
        <v>4</v>
      </c>
      <c r="J308" s="116">
        <f>'SU 04003'!N11</f>
        <v>0.10838184815309328</v>
      </c>
      <c r="K308" s="116">
        <f>'SU 04003'!I18</f>
        <v>3.0440000000000005</v>
      </c>
      <c r="L308" s="116">
        <v>0</v>
      </c>
      <c r="M308" s="116">
        <v>0</v>
      </c>
      <c r="N308" s="116">
        <f t="shared" si="18"/>
        <v>12.609527392612375</v>
      </c>
      <c r="O308" s="117"/>
    </row>
    <row r="309" spans="1:15" ht="13.8" x14ac:dyDescent="0.25">
      <c r="A309" s="112">
        <v>303</v>
      </c>
      <c r="B309" s="113" t="s">
        <v>411</v>
      </c>
      <c r="C309" s="114" t="s">
        <v>443</v>
      </c>
      <c r="D309" s="115" t="s">
        <v>36</v>
      </c>
      <c r="E309" s="113" t="s">
        <v>439</v>
      </c>
      <c r="F309" s="113" t="str">
        <f>'SU 04004'!B4</f>
        <v>Bearing support</v>
      </c>
      <c r="G309" s="115"/>
      <c r="H309" s="116">
        <f t="shared" si="19"/>
        <v>4.3912299199999998</v>
      </c>
      <c r="I309" s="971">
        <f>'SU 04004'!N2</f>
        <v>4</v>
      </c>
      <c r="J309" s="116">
        <f>'SU 04004'!N11</f>
        <v>0.25522992000000005</v>
      </c>
      <c r="K309" s="116">
        <f>'SU 04004'!I20</f>
        <v>4.1360000000000001</v>
      </c>
      <c r="L309" s="116">
        <v>0</v>
      </c>
      <c r="M309" s="116">
        <v>0</v>
      </c>
      <c r="N309" s="116">
        <f t="shared" si="18"/>
        <v>17.564919679999999</v>
      </c>
      <c r="O309" s="117"/>
    </row>
    <row r="310" spans="1:15" ht="13.8" x14ac:dyDescent="0.25">
      <c r="A310" s="112">
        <v>304</v>
      </c>
      <c r="B310" s="113" t="s">
        <v>411</v>
      </c>
      <c r="C310" s="114" t="s">
        <v>444</v>
      </c>
      <c r="D310" s="115" t="s">
        <v>36</v>
      </c>
      <c r="E310" s="113" t="s">
        <v>439</v>
      </c>
      <c r="F310" s="113" t="str">
        <f>'SU 04005'!B4</f>
        <v>Upper front double insert</v>
      </c>
      <c r="G310" s="115"/>
      <c r="H310" s="116">
        <f>SUM(J310:M310)</f>
        <v>36.27448892000001</v>
      </c>
      <c r="I310" s="971">
        <f>'SU 04005'!N2</f>
        <v>2</v>
      </c>
      <c r="J310" s="116">
        <f>'SU 04005'!N11</f>
        <v>3.8169889200000009</v>
      </c>
      <c r="K310" s="116">
        <f>'SU 04005'!I32</f>
        <v>32.45750000000001</v>
      </c>
      <c r="L310" s="116">
        <v>0</v>
      </c>
      <c r="M310" s="116">
        <v>0</v>
      </c>
      <c r="N310" s="116">
        <f t="shared" si="18"/>
        <v>72.54897784000002</v>
      </c>
      <c r="O310" s="117"/>
    </row>
    <row r="311" spans="1:15" ht="13.8" x14ac:dyDescent="0.25">
      <c r="A311" s="112">
        <v>305</v>
      </c>
      <c r="B311" s="113" t="s">
        <v>411</v>
      </c>
      <c r="C311" s="114" t="s">
        <v>445</v>
      </c>
      <c r="D311" s="115" t="s">
        <v>36</v>
      </c>
      <c r="E311" s="113" t="s">
        <v>439</v>
      </c>
      <c r="F311" s="113" t="str">
        <f>'SU 04006'!B4</f>
        <v>Pullrod insert 1</v>
      </c>
      <c r="G311" s="119"/>
      <c r="H311" s="116">
        <f>SUM(J311:M311)</f>
        <v>3.1523818481530936</v>
      </c>
      <c r="I311" s="971">
        <f>'SU 04006'!N2</f>
        <v>2</v>
      </c>
      <c r="J311" s="116">
        <f>'SU 04006'!N11</f>
        <v>0.10838184815309328</v>
      </c>
      <c r="K311" s="116">
        <f>'SU 04006'!I18</f>
        <v>3.0440000000000005</v>
      </c>
      <c r="L311" s="116">
        <v>0</v>
      </c>
      <c r="M311" s="116">
        <v>0</v>
      </c>
      <c r="N311" s="116">
        <f t="shared" si="18"/>
        <v>6.3047636963061873</v>
      </c>
      <c r="O311" s="117"/>
    </row>
    <row r="312" spans="1:15" ht="13.8" x14ac:dyDescent="0.25">
      <c r="A312" s="112">
        <v>306</v>
      </c>
      <c r="B312" s="113" t="s">
        <v>411</v>
      </c>
      <c r="C312" s="114" t="s">
        <v>446</v>
      </c>
      <c r="D312" s="115" t="s">
        <v>36</v>
      </c>
      <c r="E312" s="113" t="s">
        <v>439</v>
      </c>
      <c r="F312" s="113" t="str">
        <f>'SU 04007'!B4</f>
        <v>Pullrod insert 2</v>
      </c>
      <c r="G312" s="115"/>
      <c r="H312" s="116">
        <f>SUM(J312:M312)</f>
        <v>2.4699953806999999</v>
      </c>
      <c r="I312" s="971">
        <f>'SU 04007'!N2</f>
        <v>2</v>
      </c>
      <c r="J312" s="116">
        <f>'SU 04007'!N11</f>
        <v>7.3467380700000015E-2</v>
      </c>
      <c r="K312" s="116">
        <f>'SU 04007'!I19</f>
        <v>2.396528</v>
      </c>
      <c r="L312" s="116">
        <v>0</v>
      </c>
      <c r="M312" s="116">
        <v>0</v>
      </c>
      <c r="N312" s="116">
        <f t="shared" si="18"/>
        <v>4.9399907613999998</v>
      </c>
      <c r="O312" s="117"/>
    </row>
    <row r="313" spans="1:15" ht="13.8" x14ac:dyDescent="0.25">
      <c r="A313" s="112">
        <v>307</v>
      </c>
      <c r="B313" s="113" t="s">
        <v>411</v>
      </c>
      <c r="C313" s="114" t="s">
        <v>2736</v>
      </c>
      <c r="D313" s="115" t="s">
        <v>36</v>
      </c>
      <c r="E313" s="113" t="s">
        <v>439</v>
      </c>
      <c r="F313" s="113" t="str">
        <f>'SU 04008'!B4</f>
        <v>Spacer</v>
      </c>
      <c r="G313" s="115"/>
      <c r="H313" s="116">
        <f>SUM(J313:M313)</f>
        <v>0.14281516440451272</v>
      </c>
      <c r="I313" s="971">
        <f>'SU 04008'!N2</f>
        <v>12</v>
      </c>
      <c r="J313" s="116">
        <f>'SU 04008'!N11</f>
        <v>1.4481831071179405E-2</v>
      </c>
      <c r="K313" s="116">
        <f>'SU 04008'!I16</f>
        <v>0.12833333333333333</v>
      </c>
      <c r="L313" s="116">
        <v>0</v>
      </c>
      <c r="M313" s="116">
        <v>0</v>
      </c>
      <c r="N313" s="116">
        <f t="shared" si="18"/>
        <v>1.7137819728541528</v>
      </c>
      <c r="O313" s="117"/>
    </row>
    <row r="314" spans="1:15" ht="13.8" x14ac:dyDescent="0.25">
      <c r="A314" s="107">
        <v>308</v>
      </c>
      <c r="B314" s="108" t="s">
        <v>411</v>
      </c>
      <c r="C314" s="109" t="s">
        <v>447</v>
      </c>
      <c r="D314" s="109" t="s">
        <v>36</v>
      </c>
      <c r="E314" s="109"/>
      <c r="F314" s="108" t="s">
        <v>448</v>
      </c>
      <c r="G314" s="109"/>
      <c r="H314" s="110">
        <f>SUM(J314:M314)</f>
        <v>5.0312666666666663</v>
      </c>
      <c r="I314" s="970">
        <f>'SU A0005'!N2</f>
        <v>2</v>
      </c>
      <c r="J314" s="110">
        <f>'SU A0005'!N16</f>
        <v>0.04</v>
      </c>
      <c r="K314" s="110">
        <f>'SU A0005'!I28</f>
        <v>3.6145999999999998</v>
      </c>
      <c r="L314" s="110">
        <f>'SU A0005'!J35</f>
        <v>0.71</v>
      </c>
      <c r="M314" s="110">
        <f>'SU A0005'!I39</f>
        <v>0.66666666666666663</v>
      </c>
      <c r="N314" s="110">
        <f t="shared" si="18"/>
        <v>10.062533333333333</v>
      </c>
      <c r="O314" s="111"/>
    </row>
    <row r="315" spans="1:15" ht="13.8" x14ac:dyDescent="0.25">
      <c r="A315" s="112">
        <v>309</v>
      </c>
      <c r="B315" s="113" t="s">
        <v>411</v>
      </c>
      <c r="C315" s="114" t="s">
        <v>449</v>
      </c>
      <c r="D315" s="115" t="s">
        <v>36</v>
      </c>
      <c r="E315" s="113" t="s">
        <v>448</v>
      </c>
      <c r="F315" s="113" t="str">
        <f>'SU 05001'!B4</f>
        <v>Dampers</v>
      </c>
      <c r="G315" s="115"/>
      <c r="H315" s="116">
        <f t="shared" ref="H315:H353" si="20">SUM(J315:M315)</f>
        <v>305</v>
      </c>
      <c r="I315" s="971">
        <f>'SU 05001'!N2</f>
        <v>2</v>
      </c>
      <c r="J315" s="116">
        <f>'SU 05001'!N11</f>
        <v>305</v>
      </c>
      <c r="K315" s="116">
        <v>0</v>
      </c>
      <c r="L315" s="116">
        <v>0</v>
      </c>
      <c r="M315" s="116">
        <v>0</v>
      </c>
      <c r="N315" s="116">
        <f t="shared" si="18"/>
        <v>610</v>
      </c>
      <c r="O315" s="117"/>
    </row>
    <row r="316" spans="1:15" ht="13.8" x14ac:dyDescent="0.25">
      <c r="A316" s="112">
        <v>310</v>
      </c>
      <c r="B316" s="113" t="s">
        <v>411</v>
      </c>
      <c r="C316" s="114" t="s">
        <v>451</v>
      </c>
      <c r="D316" s="115" t="s">
        <v>36</v>
      </c>
      <c r="E316" s="113" t="s">
        <v>448</v>
      </c>
      <c r="F316" s="113" t="str">
        <f>'SU 05002'!B4</f>
        <v>Springs</v>
      </c>
      <c r="G316" s="115"/>
      <c r="H316" s="116">
        <f t="shared" si="20"/>
        <v>25</v>
      </c>
      <c r="I316" s="971">
        <f>'SU 05002'!N2</f>
        <v>2</v>
      </c>
      <c r="J316" s="116">
        <f>'SU 05002'!N11</f>
        <v>25</v>
      </c>
      <c r="K316" s="116">
        <v>0</v>
      </c>
      <c r="L316" s="116">
        <v>0</v>
      </c>
      <c r="M316" s="116">
        <v>0</v>
      </c>
      <c r="N316" s="116">
        <f t="shared" si="18"/>
        <v>50</v>
      </c>
      <c r="O316" s="117"/>
    </row>
    <row r="317" spans="1:15" ht="13.8" x14ac:dyDescent="0.25">
      <c r="A317" s="112">
        <v>311</v>
      </c>
      <c r="B317" s="113" t="s">
        <v>411</v>
      </c>
      <c r="C317" s="114" t="s">
        <v>453</v>
      </c>
      <c r="D317" s="115" t="s">
        <v>36</v>
      </c>
      <c r="E317" s="113" t="s">
        <v>448</v>
      </c>
      <c r="F317" s="113" t="str">
        <f>'SU 05003'!B4</f>
        <v>Suspension mount</v>
      </c>
      <c r="G317" s="115"/>
      <c r="H317" s="116">
        <f t="shared" si="20"/>
        <v>2.6553292000000002</v>
      </c>
      <c r="I317" s="971">
        <f>'SU 05003'!N2</f>
        <v>2</v>
      </c>
      <c r="J317" s="116">
        <f>'SU 05003'!N11</f>
        <v>0.2673972</v>
      </c>
      <c r="K317" s="116">
        <f>'SU 05003'!I16</f>
        <v>2.3879320000000002</v>
      </c>
      <c r="L317" s="116">
        <v>0</v>
      </c>
      <c r="M317" s="116">
        <v>0</v>
      </c>
      <c r="N317" s="116">
        <f t="shared" si="18"/>
        <v>5.3106584000000003</v>
      </c>
      <c r="O317" s="117"/>
    </row>
    <row r="318" spans="1:15" ht="13.8" x14ac:dyDescent="0.25">
      <c r="A318" s="107">
        <v>312</v>
      </c>
      <c r="B318" s="108" t="s">
        <v>411</v>
      </c>
      <c r="C318" s="109" t="s">
        <v>454</v>
      </c>
      <c r="D318" s="109" t="s">
        <v>36</v>
      </c>
      <c r="E318" s="109"/>
      <c r="F318" s="108" t="s">
        <v>455</v>
      </c>
      <c r="G318" s="109"/>
      <c r="H318" s="110">
        <f t="shared" si="20"/>
        <v>7.0850799999999996</v>
      </c>
      <c r="I318" s="970">
        <f>'SU A0006'!N2</f>
        <v>2</v>
      </c>
      <c r="J318" s="110">
        <v>0</v>
      </c>
      <c r="K318" s="110">
        <f>'SU A0006'!I24</f>
        <v>4.77508</v>
      </c>
      <c r="L318" s="110">
        <f>'SU A0006'!J30</f>
        <v>0.31</v>
      </c>
      <c r="M318" s="110">
        <f>'SU A0006'!I34</f>
        <v>2</v>
      </c>
      <c r="N318" s="110">
        <f t="shared" si="18"/>
        <v>14.170159999999999</v>
      </c>
      <c r="O318" s="111"/>
    </row>
    <row r="319" spans="1:15" ht="13.8" x14ac:dyDescent="0.25">
      <c r="A319" s="112">
        <v>313</v>
      </c>
      <c r="B319" s="113" t="s">
        <v>411</v>
      </c>
      <c r="C319" s="114" t="s">
        <v>456</v>
      </c>
      <c r="D319" s="115" t="s">
        <v>36</v>
      </c>
      <c r="E319" s="113" t="s">
        <v>455</v>
      </c>
      <c r="F319" s="113" t="str">
        <f>'SU 06001'!B4</f>
        <v>Sheets metal of the Rocker</v>
      </c>
      <c r="G319" s="115"/>
      <c r="H319" s="116">
        <f t="shared" si="20"/>
        <v>5.1857314000000008</v>
      </c>
      <c r="I319" s="971">
        <f>'SU 06001'!N2</f>
        <v>2</v>
      </c>
      <c r="J319" s="116">
        <f>'SU 06001'!N11</f>
        <v>1.2457314000000002</v>
      </c>
      <c r="K319" s="116">
        <f>'SU 06001'!I16</f>
        <v>3.9400000000000004</v>
      </c>
      <c r="L319" s="116">
        <v>0</v>
      </c>
      <c r="M319" s="116">
        <v>0</v>
      </c>
      <c r="N319" s="116">
        <f t="shared" si="18"/>
        <v>10.371462800000002</v>
      </c>
      <c r="O319" s="117"/>
    </row>
    <row r="320" spans="1:15" ht="13.8" x14ac:dyDescent="0.25">
      <c r="A320" s="112">
        <v>314</v>
      </c>
      <c r="B320" s="113" t="s">
        <v>411</v>
      </c>
      <c r="C320" s="114" t="s">
        <v>457</v>
      </c>
      <c r="D320" s="115" t="s">
        <v>36</v>
      </c>
      <c r="E320" s="113" t="s">
        <v>455</v>
      </c>
      <c r="F320" s="113" t="str">
        <f>'SU 06002'!B4</f>
        <v>Cylinder</v>
      </c>
      <c r="G320" s="115"/>
      <c r="H320" s="116">
        <f t="shared" si="20"/>
        <v>1.9843305285300001</v>
      </c>
      <c r="I320" s="971">
        <f>'SU 06002'!N2</f>
        <v>2</v>
      </c>
      <c r="J320" s="116">
        <f>'SU 06002'!N11</f>
        <v>0.11893052853000001</v>
      </c>
      <c r="K320" s="116">
        <f>'SU 06002'!I17</f>
        <v>1.8654000000000002</v>
      </c>
      <c r="L320" s="116">
        <v>0</v>
      </c>
      <c r="M320" s="116">
        <v>0</v>
      </c>
      <c r="N320" s="116">
        <f t="shared" si="18"/>
        <v>3.9686610570600003</v>
      </c>
      <c r="O320" s="117"/>
    </row>
    <row r="321" spans="1:15" ht="13.8" x14ac:dyDescent="0.25">
      <c r="A321" s="112">
        <v>315</v>
      </c>
      <c r="B321" s="113" t="s">
        <v>411</v>
      </c>
      <c r="C321" s="114" t="s">
        <v>459</v>
      </c>
      <c r="D321" s="115" t="s">
        <v>36</v>
      </c>
      <c r="E321" s="113" t="s">
        <v>455</v>
      </c>
      <c r="F321" s="113" t="str">
        <f>'SU 06003'!B4</f>
        <v>Bushing</v>
      </c>
      <c r="G321" s="115"/>
      <c r="H321" s="116">
        <f t="shared" si="20"/>
        <v>1.3270953600000002</v>
      </c>
      <c r="I321" s="971">
        <f>'SU 06003'!N2</f>
        <v>4</v>
      </c>
      <c r="J321" s="116">
        <f>'SU 06003'!N11</f>
        <v>1.3263360000000004E-2</v>
      </c>
      <c r="K321" s="116">
        <f>'SU 06003'!I16</f>
        <v>1.3138320000000001</v>
      </c>
      <c r="L321" s="116">
        <v>0</v>
      </c>
      <c r="M321" s="116">
        <v>0</v>
      </c>
      <c r="N321" s="116">
        <f t="shared" si="18"/>
        <v>5.3083814400000007</v>
      </c>
      <c r="O321" s="117"/>
    </row>
    <row r="322" spans="1:15" ht="13.8" x14ac:dyDescent="0.25">
      <c r="A322" s="112">
        <v>316</v>
      </c>
      <c r="B322" s="113" t="s">
        <v>411</v>
      </c>
      <c r="C322" s="114" t="s">
        <v>461</v>
      </c>
      <c r="D322" s="115" t="s">
        <v>36</v>
      </c>
      <c r="E322" s="113" t="s">
        <v>455</v>
      </c>
      <c r="F322" s="113" t="str">
        <f>'SU 06004'!B4</f>
        <v>Rocker mount</v>
      </c>
      <c r="G322" s="115"/>
      <c r="H322" s="116">
        <f t="shared" si="20"/>
        <v>3.12191704</v>
      </c>
      <c r="I322" s="971">
        <f>'SU 06004'!N2</f>
        <v>2</v>
      </c>
      <c r="J322" s="116">
        <f>'SU 06004'!N11</f>
        <v>0.41708304000000007</v>
      </c>
      <c r="K322" s="116">
        <f>'SU 06004'!I16</f>
        <v>2.704834</v>
      </c>
      <c r="L322" s="116">
        <v>0</v>
      </c>
      <c r="M322" s="116">
        <v>0</v>
      </c>
      <c r="N322" s="116">
        <f t="shared" si="18"/>
        <v>6.2438340800000001</v>
      </c>
      <c r="O322" s="117"/>
    </row>
    <row r="323" spans="1:15" ht="13.8" x14ac:dyDescent="0.25">
      <c r="A323" s="107">
        <v>317</v>
      </c>
      <c r="B323" s="108" t="s">
        <v>411</v>
      </c>
      <c r="C323" s="109" t="s">
        <v>462</v>
      </c>
      <c r="D323" s="109" t="s">
        <v>36</v>
      </c>
      <c r="E323" s="109"/>
      <c r="F323" s="108" t="s">
        <v>463</v>
      </c>
      <c r="G323" s="109"/>
      <c r="H323" s="110">
        <f t="shared" si="20"/>
        <v>13.436916666666665</v>
      </c>
      <c r="I323" s="970">
        <f>'SU A0007'!N2</f>
        <v>2</v>
      </c>
      <c r="J323" s="110">
        <f>'SU A0007'!N17</f>
        <v>5</v>
      </c>
      <c r="K323" s="110">
        <f>'SU A0007'!I30</f>
        <v>7.0802499999999995</v>
      </c>
      <c r="L323" s="110">
        <f>'SU A0007'!J39</f>
        <v>0.69</v>
      </c>
      <c r="M323" s="110">
        <f>'SU A0007'!I43</f>
        <v>0.66666666666666663</v>
      </c>
      <c r="N323" s="110">
        <f t="shared" si="18"/>
        <v>26.87383333333333</v>
      </c>
      <c r="O323" s="111"/>
    </row>
    <row r="324" spans="1:15" ht="13.8" x14ac:dyDescent="0.25">
      <c r="A324" s="112">
        <v>318</v>
      </c>
      <c r="B324" s="113" t="s">
        <v>411</v>
      </c>
      <c r="C324" s="114" t="s">
        <v>464</v>
      </c>
      <c r="D324" s="115" t="s">
        <v>36</v>
      </c>
      <c r="E324" s="113" t="s">
        <v>463</v>
      </c>
      <c r="F324" s="113" t="str">
        <f>'SU 07001'!B4</f>
        <v>Rod tube</v>
      </c>
      <c r="G324" s="115"/>
      <c r="H324" s="116">
        <f t="shared" si="20"/>
        <v>0.44427764137499998</v>
      </c>
      <c r="I324" s="971">
        <f>'SU 07001'!N2</f>
        <v>2</v>
      </c>
      <c r="J324" s="116">
        <f>'SU 07001'!N11</f>
        <v>0.219277641375</v>
      </c>
      <c r="K324" s="116">
        <f>'SU 07001'!I15</f>
        <v>0.22499999999999998</v>
      </c>
      <c r="L324" s="116">
        <v>0</v>
      </c>
      <c r="M324" s="116">
        <v>0</v>
      </c>
      <c r="N324" s="116">
        <f t="shared" si="18"/>
        <v>0.88855528274999995</v>
      </c>
      <c r="O324" s="117"/>
    </row>
    <row r="325" spans="1:15" ht="13.8" x14ac:dyDescent="0.25">
      <c r="A325" s="112">
        <v>319</v>
      </c>
      <c r="B325" s="113" t="s">
        <v>411</v>
      </c>
      <c r="C325" s="114" t="s">
        <v>465</v>
      </c>
      <c r="D325" s="115" t="s">
        <v>36</v>
      </c>
      <c r="E325" s="113" t="s">
        <v>463</v>
      </c>
      <c r="F325" s="113" t="str">
        <f>'SU 07002'!B4</f>
        <v>Tie rod right-hand insert</v>
      </c>
      <c r="G325" s="115"/>
      <c r="H325" s="116">
        <f t="shared" si="20"/>
        <v>2.4699953806999999</v>
      </c>
      <c r="I325" s="971">
        <f>'SU 07002'!N2</f>
        <v>2</v>
      </c>
      <c r="J325" s="116">
        <f>'SU 07002'!N11</f>
        <v>7.3467380700000015E-2</v>
      </c>
      <c r="K325" s="116">
        <f>'SU 07002'!I19</f>
        <v>2.396528</v>
      </c>
      <c r="L325" s="116">
        <v>0</v>
      </c>
      <c r="M325" s="116">
        <v>0</v>
      </c>
      <c r="N325" s="116">
        <f t="shared" si="18"/>
        <v>4.9399907613999998</v>
      </c>
      <c r="O325" s="117"/>
    </row>
    <row r="326" spans="1:15" ht="13.8" x14ac:dyDescent="0.25">
      <c r="A326" s="112">
        <v>320</v>
      </c>
      <c r="B326" s="113" t="s">
        <v>411</v>
      </c>
      <c r="C326" s="114" t="s">
        <v>466</v>
      </c>
      <c r="D326" s="115" t="s">
        <v>36</v>
      </c>
      <c r="E326" s="113" t="s">
        <v>463</v>
      </c>
      <c r="F326" s="113" t="str">
        <f>'SU 07003'!B4</f>
        <v>Tie rod left-hand  insert</v>
      </c>
      <c r="G326" s="115"/>
      <c r="H326" s="116">
        <f t="shared" si="20"/>
        <v>2.4699953806999999</v>
      </c>
      <c r="I326" s="971">
        <f>'SU 07003'!N2</f>
        <v>2</v>
      </c>
      <c r="J326" s="116">
        <f>'SU 07003'!N11</f>
        <v>7.3467380700000015E-2</v>
      </c>
      <c r="K326" s="116">
        <f>'SU 07003'!I19</f>
        <v>2.396528</v>
      </c>
      <c r="L326" s="116">
        <v>0</v>
      </c>
      <c r="M326" s="116">
        <v>0</v>
      </c>
      <c r="N326" s="116">
        <f t="shared" si="18"/>
        <v>4.9399907613999998</v>
      </c>
      <c r="O326" s="117"/>
    </row>
    <row r="327" spans="1:15" ht="13.8" x14ac:dyDescent="0.25">
      <c r="A327" s="107">
        <v>321</v>
      </c>
      <c r="B327" s="108" t="s">
        <v>411</v>
      </c>
      <c r="C327" s="109" t="s">
        <v>467</v>
      </c>
      <c r="D327" s="109" t="s">
        <v>36</v>
      </c>
      <c r="E327" s="109"/>
      <c r="F327" s="108" t="s">
        <v>468</v>
      </c>
      <c r="G327" s="109"/>
      <c r="H327" s="110">
        <f t="shared" si="20"/>
        <v>7.0283333333333324</v>
      </c>
      <c r="I327" s="970">
        <f>'SU A0008'!N2</f>
        <v>2</v>
      </c>
      <c r="J327" s="110">
        <f>'SU A0008'!N17</f>
        <v>0.04</v>
      </c>
      <c r="K327" s="110">
        <f>'SU A0008'!I29</f>
        <v>5.9449999999999994</v>
      </c>
      <c r="L327" s="110">
        <f>'SU A0008'!J36</f>
        <v>0.71</v>
      </c>
      <c r="M327" s="110">
        <f>'SU A0008'!I40</f>
        <v>0.33333333333333331</v>
      </c>
      <c r="N327" s="110">
        <f t="shared" si="18"/>
        <v>14.056666666666665</v>
      </c>
      <c r="O327" s="111"/>
    </row>
    <row r="328" spans="1:15" ht="13.8" x14ac:dyDescent="0.25">
      <c r="A328" s="112">
        <v>322</v>
      </c>
      <c r="B328" s="113" t="s">
        <v>411</v>
      </c>
      <c r="C328" s="114" t="s">
        <v>469</v>
      </c>
      <c r="D328" s="115" t="s">
        <v>36</v>
      </c>
      <c r="E328" s="113" t="s">
        <v>468</v>
      </c>
      <c r="F328" s="113" t="str">
        <f>'SU 08001'!B4</f>
        <v>Dampers</v>
      </c>
      <c r="G328" s="115"/>
      <c r="H328" s="116">
        <f t="shared" si="20"/>
        <v>305</v>
      </c>
      <c r="I328" s="971">
        <f>'SU 08001'!N2</f>
        <v>2</v>
      </c>
      <c r="J328" s="116">
        <f>'SU 08001'!N11</f>
        <v>305</v>
      </c>
      <c r="K328" s="116">
        <v>0</v>
      </c>
      <c r="L328" s="116">
        <v>0</v>
      </c>
      <c r="M328" s="116">
        <v>0</v>
      </c>
      <c r="N328" s="116">
        <f t="shared" si="18"/>
        <v>610</v>
      </c>
      <c r="O328" s="117"/>
    </row>
    <row r="329" spans="1:15" ht="13.8" x14ac:dyDescent="0.25">
      <c r="A329" s="112">
        <v>323</v>
      </c>
      <c r="B329" s="113" t="s">
        <v>411</v>
      </c>
      <c r="C329" s="114" t="s">
        <v>470</v>
      </c>
      <c r="D329" s="115" t="s">
        <v>36</v>
      </c>
      <c r="E329" s="113" t="s">
        <v>468</v>
      </c>
      <c r="F329" s="113" t="str">
        <f>'SU 08002'!B4</f>
        <v>Springs</v>
      </c>
      <c r="G329" s="115"/>
      <c r="H329" s="116">
        <f t="shared" si="20"/>
        <v>25</v>
      </c>
      <c r="I329" s="971">
        <f>'SU 08002'!N2</f>
        <v>2</v>
      </c>
      <c r="J329" s="116">
        <f>'SU 08002'!N11</f>
        <v>25</v>
      </c>
      <c r="K329" s="116">
        <v>0</v>
      </c>
      <c r="L329" s="116">
        <v>0</v>
      </c>
      <c r="M329" s="116">
        <v>0</v>
      </c>
      <c r="N329" s="116">
        <f t="shared" si="18"/>
        <v>50</v>
      </c>
      <c r="O329" s="117"/>
    </row>
    <row r="330" spans="1:15" ht="13.8" x14ac:dyDescent="0.25">
      <c r="A330" s="112">
        <v>324</v>
      </c>
      <c r="B330" s="113" t="s">
        <v>411</v>
      </c>
      <c r="C330" s="114" t="s">
        <v>471</v>
      </c>
      <c r="D330" s="115" t="s">
        <v>36</v>
      </c>
      <c r="E330" s="113" t="s">
        <v>468</v>
      </c>
      <c r="F330" s="113" t="str">
        <f>'SU 08003'!B4</f>
        <v>Suspension mount</v>
      </c>
      <c r="G330" s="115"/>
      <c r="H330" s="116">
        <f t="shared" si="20"/>
        <v>7.1511040348000003</v>
      </c>
      <c r="I330" s="971">
        <f>'SU 08003'!N2</f>
        <v>2</v>
      </c>
      <c r="J330" s="116">
        <f>'SU 08003'!N11</f>
        <v>0.56330403480000013</v>
      </c>
      <c r="K330" s="116">
        <f>'SU 08003'!I23</f>
        <v>6.5878000000000005</v>
      </c>
      <c r="L330" s="116">
        <v>0</v>
      </c>
      <c r="M330" s="116">
        <v>0</v>
      </c>
      <c r="N330" s="116">
        <f t="shared" si="18"/>
        <v>14.302208069600001</v>
      </c>
      <c r="O330" s="117"/>
    </row>
    <row r="331" spans="1:15" ht="13.8" x14ac:dyDescent="0.25">
      <c r="A331" s="112">
        <v>325</v>
      </c>
      <c r="B331" s="113" t="s">
        <v>411</v>
      </c>
      <c r="C331" s="114" t="s">
        <v>2819</v>
      </c>
      <c r="D331" s="115" t="s">
        <v>36</v>
      </c>
      <c r="E331" s="113" t="s">
        <v>468</v>
      </c>
      <c r="F331" s="113" t="str">
        <f>'SU 08004'!B4</f>
        <v>Dampers spacer</v>
      </c>
      <c r="G331" s="115"/>
      <c r="H331" s="116">
        <f>SUM(J331:M331)</f>
        <v>1.5375653850204596</v>
      </c>
      <c r="I331" s="971">
        <f>'SU 08004'!N2</f>
        <v>2</v>
      </c>
      <c r="J331" s="116">
        <f>'SU 08004'!N11</f>
        <v>0.15556538502045938</v>
      </c>
      <c r="K331" s="116">
        <f>'SU 08004'!I16</f>
        <v>1.3820000000000001</v>
      </c>
      <c r="L331" s="116">
        <v>0</v>
      </c>
      <c r="M331" s="116">
        <v>0</v>
      </c>
      <c r="N331" s="116">
        <f t="shared" si="18"/>
        <v>3.0751307700409192</v>
      </c>
      <c r="O331" s="117"/>
    </row>
    <row r="332" spans="1:15" ht="13.8" x14ac:dyDescent="0.25">
      <c r="A332" s="107">
        <v>326</v>
      </c>
      <c r="B332" s="108" t="s">
        <v>411</v>
      </c>
      <c r="C332" s="109" t="s">
        <v>472</v>
      </c>
      <c r="D332" s="109" t="s">
        <v>36</v>
      </c>
      <c r="E332" s="109"/>
      <c r="F332" s="108" t="s">
        <v>473</v>
      </c>
      <c r="G332" s="109"/>
      <c r="H332" s="110">
        <f t="shared" si="20"/>
        <v>7.3514033333333328</v>
      </c>
      <c r="I332" s="970">
        <f>'SU A0009'!N2</f>
        <v>2</v>
      </c>
      <c r="J332" s="110">
        <v>0</v>
      </c>
      <c r="K332" s="110">
        <f>'SU A0009'!I24</f>
        <v>5.7080700000000002</v>
      </c>
      <c r="L332" s="110">
        <f>'SU A0009'!J30</f>
        <v>0.31</v>
      </c>
      <c r="M332" s="110">
        <f>'SU A0009'!I34</f>
        <v>1.3333333333333333</v>
      </c>
      <c r="N332" s="110">
        <f t="shared" si="18"/>
        <v>14.702806666666666</v>
      </c>
      <c r="O332" s="111"/>
    </row>
    <row r="333" spans="1:15" ht="13.8" x14ac:dyDescent="0.25">
      <c r="A333" s="112">
        <v>327</v>
      </c>
      <c r="B333" s="113" t="s">
        <v>411</v>
      </c>
      <c r="C333" s="114" t="s">
        <v>474</v>
      </c>
      <c r="D333" s="115" t="s">
        <v>36</v>
      </c>
      <c r="E333" s="113" t="s">
        <v>473</v>
      </c>
      <c r="F333" s="113" t="str">
        <f>'SU 09001'!B4</f>
        <v>Sheets metal of the rocker</v>
      </c>
      <c r="G333" s="115"/>
      <c r="H333" s="116">
        <f t="shared" si="20"/>
        <v>2.9418275200000004</v>
      </c>
      <c r="I333" s="971">
        <f>'SU 09001'!N2</f>
        <v>4</v>
      </c>
      <c r="J333" s="116">
        <f>'SU 09001'!N11</f>
        <v>1.1918275200000001</v>
      </c>
      <c r="K333" s="116">
        <f>'SU 09001'!I16</f>
        <v>1.75</v>
      </c>
      <c r="L333" s="116">
        <v>0</v>
      </c>
      <c r="M333" s="116">
        <v>0</v>
      </c>
      <c r="N333" s="116">
        <f t="shared" si="18"/>
        <v>11.767310080000001</v>
      </c>
      <c r="O333" s="117"/>
    </row>
    <row r="334" spans="1:15" ht="13.8" x14ac:dyDescent="0.25">
      <c r="A334" s="112">
        <v>328</v>
      </c>
      <c r="B334" s="113" t="s">
        <v>411</v>
      </c>
      <c r="C334" s="114" t="s">
        <v>475</v>
      </c>
      <c r="D334" s="115" t="s">
        <v>36</v>
      </c>
      <c r="E334" s="113" t="s">
        <v>473</v>
      </c>
      <c r="F334" s="113" t="str">
        <f>'SU 09002'!B4</f>
        <v>Cylinder</v>
      </c>
      <c r="G334" s="115"/>
      <c r="H334" s="116">
        <f t="shared" si="20"/>
        <v>1.33433052853</v>
      </c>
      <c r="I334" s="971">
        <f>'SU 09002'!N2</f>
        <v>2</v>
      </c>
      <c r="J334" s="116">
        <f>'SU 09002'!N11</f>
        <v>0.11893052853000001</v>
      </c>
      <c r="K334" s="116">
        <f>'SU 09002'!I17</f>
        <v>1.2154</v>
      </c>
      <c r="L334" s="116">
        <v>0</v>
      </c>
      <c r="M334" s="116">
        <v>0</v>
      </c>
      <c r="N334" s="116">
        <f t="shared" si="18"/>
        <v>2.66866105706</v>
      </c>
      <c r="O334" s="117"/>
    </row>
    <row r="335" spans="1:15" ht="13.8" x14ac:dyDescent="0.25">
      <c r="A335" s="112">
        <v>329</v>
      </c>
      <c r="B335" s="113" t="s">
        <v>411</v>
      </c>
      <c r="C335" s="114" t="s">
        <v>476</v>
      </c>
      <c r="D335" s="115" t="s">
        <v>36</v>
      </c>
      <c r="E335" s="113" t="s">
        <v>473</v>
      </c>
      <c r="F335" s="113" t="str">
        <f>'SU 09003'!B4</f>
        <v>Bushing</v>
      </c>
      <c r="G335" s="115"/>
      <c r="H335" s="116">
        <f t="shared" si="20"/>
        <v>0.35209536000000002</v>
      </c>
      <c r="I335" s="971">
        <f>'SU 09003'!N2</f>
        <v>4</v>
      </c>
      <c r="J335" s="116">
        <f>'SU 09003'!N11</f>
        <v>1.3263360000000004E-2</v>
      </c>
      <c r="K335" s="116">
        <f>'SU 09003'!I16</f>
        <v>0.33883200000000002</v>
      </c>
      <c r="L335" s="116">
        <v>0</v>
      </c>
      <c r="M335" s="116">
        <v>0</v>
      </c>
      <c r="N335" s="116">
        <f t="shared" si="18"/>
        <v>1.4083814400000001</v>
      </c>
      <c r="O335" s="117"/>
    </row>
    <row r="336" spans="1:15" ht="13.8" x14ac:dyDescent="0.25">
      <c r="A336" s="112">
        <v>330</v>
      </c>
      <c r="B336" s="113" t="s">
        <v>411</v>
      </c>
      <c r="C336" s="114" t="s">
        <v>477</v>
      </c>
      <c r="D336" s="115" t="s">
        <v>36</v>
      </c>
      <c r="E336" s="113" t="s">
        <v>473</v>
      </c>
      <c r="F336" s="113" t="str">
        <f>'SU 09004'!B4</f>
        <v>Rocker mount</v>
      </c>
      <c r="G336" s="115"/>
      <c r="H336" s="116">
        <f t="shared" si="20"/>
        <v>13.2030533168</v>
      </c>
      <c r="I336" s="971">
        <f>'SU 09004'!N2</f>
        <v>2</v>
      </c>
      <c r="J336" s="116">
        <f>'SU 09004'!N11</f>
        <v>1.3852533168000001</v>
      </c>
      <c r="K336" s="116">
        <f>'SU 09004'!I25</f>
        <v>11.8178</v>
      </c>
      <c r="L336" s="116">
        <v>0</v>
      </c>
      <c r="M336" s="116">
        <v>0</v>
      </c>
      <c r="N336" s="116">
        <f t="shared" si="18"/>
        <v>26.4061066336</v>
      </c>
      <c r="O336" s="117"/>
    </row>
    <row r="337" spans="1:15" ht="13.8" x14ac:dyDescent="0.25">
      <c r="A337" s="107">
        <v>331</v>
      </c>
      <c r="B337" s="108" t="s">
        <v>411</v>
      </c>
      <c r="C337" s="109" t="s">
        <v>478</v>
      </c>
      <c r="D337" s="109" t="s">
        <v>36</v>
      </c>
      <c r="E337" s="109"/>
      <c r="F337" s="108" t="s">
        <v>479</v>
      </c>
      <c r="G337" s="109"/>
      <c r="H337" s="110">
        <f t="shared" si="20"/>
        <v>13.436916666666665</v>
      </c>
      <c r="I337" s="970">
        <f>'SU A0010'!N2</f>
        <v>2</v>
      </c>
      <c r="J337" s="110">
        <f>'SU A0010'!N17</f>
        <v>5</v>
      </c>
      <c r="K337" s="110">
        <f>'SU A0010'!I30</f>
        <v>7.0802499999999995</v>
      </c>
      <c r="L337" s="110">
        <f>'SU A0010'!J39</f>
        <v>0.69</v>
      </c>
      <c r="M337" s="110">
        <f>'SU A0010'!I43</f>
        <v>0.66666666666666663</v>
      </c>
      <c r="N337" s="110">
        <f t="shared" si="18"/>
        <v>26.87383333333333</v>
      </c>
      <c r="O337" s="111"/>
    </row>
    <row r="338" spans="1:15" ht="13.8" x14ac:dyDescent="0.25">
      <c r="A338" s="112">
        <v>332</v>
      </c>
      <c r="B338" s="113" t="s">
        <v>411</v>
      </c>
      <c r="C338" s="114" t="s">
        <v>480</v>
      </c>
      <c r="D338" s="115" t="s">
        <v>36</v>
      </c>
      <c r="E338" s="113" t="s">
        <v>479</v>
      </c>
      <c r="F338" s="113" t="str">
        <f>'SU 10001'!B4</f>
        <v>Rod tube</v>
      </c>
      <c r="G338" s="115"/>
      <c r="H338" s="116">
        <f t="shared" si="20"/>
        <v>0.44427764137499998</v>
      </c>
      <c r="I338" s="971">
        <f>'SU 10001'!N2</f>
        <v>2</v>
      </c>
      <c r="J338" s="116">
        <f>'SU 10001'!N11</f>
        <v>0.219277641375</v>
      </c>
      <c r="K338" s="116">
        <f>'SU 10001'!I15</f>
        <v>0.22499999999999998</v>
      </c>
      <c r="L338" s="116">
        <v>0</v>
      </c>
      <c r="M338" s="116">
        <v>0</v>
      </c>
      <c r="N338" s="116">
        <f t="shared" si="18"/>
        <v>0.88855528274999995</v>
      </c>
      <c r="O338" s="117"/>
    </row>
    <row r="339" spans="1:15" ht="13.8" x14ac:dyDescent="0.25">
      <c r="A339" s="112">
        <v>333</v>
      </c>
      <c r="B339" s="113" t="s">
        <v>411</v>
      </c>
      <c r="C339" s="114" t="s">
        <v>481</v>
      </c>
      <c r="D339" s="115" t="s">
        <v>36</v>
      </c>
      <c r="E339" s="113" t="s">
        <v>479</v>
      </c>
      <c r="F339" s="113" t="str">
        <f>'SU 10002'!B4</f>
        <v>Tie rod right-hand insert</v>
      </c>
      <c r="G339" s="115"/>
      <c r="H339" s="116">
        <f t="shared" si="20"/>
        <v>1.8199953807</v>
      </c>
      <c r="I339" s="971">
        <f>'SU 10002'!N2</f>
        <v>2</v>
      </c>
      <c r="J339" s="116">
        <f>'SU 10002'!N11</f>
        <v>7.3467380700000015E-2</v>
      </c>
      <c r="K339" s="116">
        <f>'SU 10002'!I19</f>
        <v>1.7465280000000001</v>
      </c>
      <c r="L339" s="116">
        <v>0</v>
      </c>
      <c r="M339" s="116">
        <v>0</v>
      </c>
      <c r="N339" s="116">
        <f t="shared" si="18"/>
        <v>3.6399907614</v>
      </c>
      <c r="O339" s="117"/>
    </row>
    <row r="340" spans="1:15" ht="13.8" x14ac:dyDescent="0.25">
      <c r="A340" s="112">
        <v>334</v>
      </c>
      <c r="B340" s="113" t="s">
        <v>411</v>
      </c>
      <c r="C340" s="114" t="s">
        <v>482</v>
      </c>
      <c r="D340" s="115" t="s">
        <v>36</v>
      </c>
      <c r="E340" s="113" t="s">
        <v>479</v>
      </c>
      <c r="F340" s="113" t="str">
        <f>'SU 10003'!B4</f>
        <v>Tie rod left-hand  insert</v>
      </c>
      <c r="G340" s="115"/>
      <c r="H340" s="116">
        <f t="shared" si="20"/>
        <v>1.8199953807</v>
      </c>
      <c r="I340" s="971">
        <f>'SU 10003'!N2</f>
        <v>2</v>
      </c>
      <c r="J340" s="116">
        <f>'SU 10003'!N11</f>
        <v>7.3467380700000015E-2</v>
      </c>
      <c r="K340" s="116">
        <f>'SU 10003'!I19</f>
        <v>1.7465280000000001</v>
      </c>
      <c r="L340" s="116">
        <v>0</v>
      </c>
      <c r="M340" s="116">
        <v>0</v>
      </c>
      <c r="N340" s="116">
        <f t="shared" si="18"/>
        <v>3.6399907614</v>
      </c>
      <c r="O340" s="117"/>
    </row>
    <row r="341" spans="1:15" ht="13.8" x14ac:dyDescent="0.25">
      <c r="A341" s="107">
        <v>335</v>
      </c>
      <c r="B341" s="108" t="s">
        <v>411</v>
      </c>
      <c r="C341" s="109" t="s">
        <v>483</v>
      </c>
      <c r="D341" s="109" t="s">
        <v>36</v>
      </c>
      <c r="E341" s="109"/>
      <c r="F341" s="108" t="s">
        <v>484</v>
      </c>
      <c r="G341" s="109"/>
      <c r="H341" s="110">
        <f t="shared" si="20"/>
        <v>9.7799999999999994</v>
      </c>
      <c r="I341" s="970">
        <f>'SU A0011'!N2</f>
        <v>2</v>
      </c>
      <c r="J341" s="110">
        <v>0</v>
      </c>
      <c r="K341" s="110">
        <f>'SU A0011'!I34</f>
        <v>8.379999999999999</v>
      </c>
      <c r="L341" s="110">
        <f>'SU A0011'!J45</f>
        <v>1.4000000000000001</v>
      </c>
      <c r="M341" s="110">
        <v>0</v>
      </c>
      <c r="N341" s="110">
        <f t="shared" si="18"/>
        <v>19.559999999999999</v>
      </c>
      <c r="O341" s="111"/>
    </row>
    <row r="342" spans="1:15" ht="13.8" x14ac:dyDescent="0.25">
      <c r="A342" s="112">
        <v>336</v>
      </c>
      <c r="B342" s="113" t="s">
        <v>411</v>
      </c>
      <c r="C342" s="114" t="s">
        <v>485</v>
      </c>
      <c r="D342" s="115" t="s">
        <v>36</v>
      </c>
      <c r="E342" s="113" t="s">
        <v>484</v>
      </c>
      <c r="F342" s="113" t="str">
        <f>'SU 11001'!B4</f>
        <v>Front Uprights</v>
      </c>
      <c r="G342" s="115"/>
      <c r="H342" s="116">
        <f t="shared" si="20"/>
        <v>162.41180150000002</v>
      </c>
      <c r="I342" s="971">
        <f>'SU 11001'!N2</f>
        <v>2</v>
      </c>
      <c r="J342" s="116">
        <f>'SU 11001'!N11</f>
        <v>39.361801499999999</v>
      </c>
      <c r="K342" s="116">
        <f>'SU 11001'!I19</f>
        <v>123.05000000000001</v>
      </c>
      <c r="L342" s="116">
        <v>0</v>
      </c>
      <c r="M342" s="116">
        <v>0</v>
      </c>
      <c r="N342" s="116">
        <f t="shared" si="18"/>
        <v>324.82360300000005</v>
      </c>
      <c r="O342" s="117"/>
    </row>
    <row r="343" spans="1:15" ht="13.8" x14ac:dyDescent="0.25">
      <c r="A343" s="112">
        <v>337</v>
      </c>
      <c r="B343" s="113" t="s">
        <v>411</v>
      </c>
      <c r="C343" s="114" t="s">
        <v>487</v>
      </c>
      <c r="D343" s="115" t="s">
        <v>36</v>
      </c>
      <c r="E343" s="113" t="s">
        <v>484</v>
      </c>
      <c r="F343" s="113" t="str">
        <f>'SU 11002'!B4</f>
        <v>Steering tab</v>
      </c>
      <c r="G343" s="115"/>
      <c r="H343" s="116">
        <f t="shared" si="20"/>
        <v>4.2956485759999996</v>
      </c>
      <c r="I343" s="971">
        <f>'SU 11002'!N2</f>
        <v>2</v>
      </c>
      <c r="J343" s="116">
        <f>'SU 11002'!N11</f>
        <v>0.34564857599999993</v>
      </c>
      <c r="K343" s="116">
        <f>'SU 11002'!I19</f>
        <v>3.9499999999999993</v>
      </c>
      <c r="L343" s="116">
        <v>0</v>
      </c>
      <c r="M343" s="116">
        <v>0</v>
      </c>
      <c r="N343" s="116">
        <f t="shared" si="18"/>
        <v>8.5912971519999992</v>
      </c>
      <c r="O343" s="117"/>
    </row>
    <row r="344" spans="1:15" ht="13.8" x14ac:dyDescent="0.25">
      <c r="A344" s="112">
        <v>338</v>
      </c>
      <c r="B344" s="113" t="s">
        <v>411</v>
      </c>
      <c r="C344" s="114" t="s">
        <v>489</v>
      </c>
      <c r="D344" s="115" t="s">
        <v>36</v>
      </c>
      <c r="E344" s="113" t="s">
        <v>484</v>
      </c>
      <c r="F344" s="113" t="str">
        <f>'SU 11003'!B4</f>
        <v>Upper tab</v>
      </c>
      <c r="G344" s="115"/>
      <c r="H344" s="116">
        <f t="shared" si="20"/>
        <v>5.8842220799999998</v>
      </c>
      <c r="I344" s="971">
        <f>'SU 11003'!N2</f>
        <v>2</v>
      </c>
      <c r="J344" s="116">
        <f>'SU 11003'!N11</f>
        <v>0.88142208000000011</v>
      </c>
      <c r="K344" s="116">
        <f>'SU 11003'!I20</f>
        <v>5.0027999999999997</v>
      </c>
      <c r="L344" s="116">
        <v>0</v>
      </c>
      <c r="M344" s="116">
        <v>0</v>
      </c>
      <c r="N344" s="116">
        <f t="shared" si="18"/>
        <v>11.76844416</v>
      </c>
      <c r="O344" s="117"/>
    </row>
    <row r="345" spans="1:15" ht="13.8" x14ac:dyDescent="0.25">
      <c r="A345" s="112">
        <v>339</v>
      </c>
      <c r="B345" s="113" t="s">
        <v>411</v>
      </c>
      <c r="C345" s="114" t="s">
        <v>491</v>
      </c>
      <c r="D345" s="115" t="s">
        <v>36</v>
      </c>
      <c r="E345" s="113" t="s">
        <v>484</v>
      </c>
      <c r="F345" s="113" t="str">
        <f>'SU 11004'!B4</f>
        <v>Camber adjustment shims</v>
      </c>
      <c r="G345" s="115"/>
      <c r="H345" s="116">
        <f t="shared" si="20"/>
        <v>1.1971677199999999</v>
      </c>
      <c r="I345" s="971">
        <f>'SU 11004'!N2</f>
        <v>2</v>
      </c>
      <c r="J345" s="116">
        <f>'SU 11004'!N11</f>
        <v>0.30116771999999997</v>
      </c>
      <c r="K345" s="116">
        <f>'SU 11004'!I16</f>
        <v>0.89600000000000002</v>
      </c>
      <c r="L345" s="116">
        <v>0</v>
      </c>
      <c r="M345" s="116">
        <v>0</v>
      </c>
      <c r="N345" s="116">
        <f t="shared" si="18"/>
        <v>2.3943354399999999</v>
      </c>
      <c r="O345" s="117"/>
    </row>
    <row r="346" spans="1:15" ht="13.8" x14ac:dyDescent="0.25">
      <c r="A346" s="112">
        <v>340</v>
      </c>
      <c r="B346" s="113" t="s">
        <v>411</v>
      </c>
      <c r="C346" s="114" t="s">
        <v>492</v>
      </c>
      <c r="D346" s="115" t="s">
        <v>36</v>
      </c>
      <c r="E346" s="113" t="s">
        <v>484</v>
      </c>
      <c r="F346" s="113" t="str">
        <f>'SU 11005'!B4</f>
        <v>Lower Spacer</v>
      </c>
      <c r="G346" s="115"/>
      <c r="H346" s="116">
        <f t="shared" si="20"/>
        <v>0.35948183107117943</v>
      </c>
      <c r="I346" s="971">
        <f>'SU 11005'!N2</f>
        <v>4</v>
      </c>
      <c r="J346" s="116">
        <f>'SU 11005'!N11</f>
        <v>1.4481831071179405E-2</v>
      </c>
      <c r="K346" s="116">
        <f>'SU 11005'!I16</f>
        <v>0.34500000000000003</v>
      </c>
      <c r="L346" s="116">
        <v>0</v>
      </c>
      <c r="M346" s="116">
        <v>0</v>
      </c>
      <c r="N346" s="116">
        <f t="shared" si="18"/>
        <v>1.4379273242847177</v>
      </c>
      <c r="O346" s="117"/>
    </row>
    <row r="347" spans="1:15" ht="13.8" x14ac:dyDescent="0.25">
      <c r="A347" s="112">
        <v>341</v>
      </c>
      <c r="B347" s="113" t="s">
        <v>411</v>
      </c>
      <c r="C347" s="114" t="s">
        <v>494</v>
      </c>
      <c r="D347" s="115" t="s">
        <v>36</v>
      </c>
      <c r="E347" s="113" t="s">
        <v>484</v>
      </c>
      <c r="F347" s="113" t="str">
        <f>'SU 11006'!B4</f>
        <v>Uprights lower reinforcements</v>
      </c>
      <c r="G347" s="115"/>
      <c r="H347" s="116">
        <f t="shared" si="20"/>
        <v>1.5264155000000001</v>
      </c>
      <c r="I347" s="971">
        <f>'SU 11006'!N2</f>
        <v>4</v>
      </c>
      <c r="J347" s="116">
        <f>'SU 11006'!N11</f>
        <v>0.11141550000000001</v>
      </c>
      <c r="K347" s="116">
        <f>'SU 11006'!I16</f>
        <v>1.415</v>
      </c>
      <c r="L347" s="116">
        <v>0</v>
      </c>
      <c r="M347" s="116">
        <v>0</v>
      </c>
      <c r="N347" s="116">
        <f t="shared" si="18"/>
        <v>6.1056620000000006</v>
      </c>
      <c r="O347" s="117"/>
    </row>
    <row r="348" spans="1:15" ht="13.8" x14ac:dyDescent="0.25">
      <c r="A348" s="112">
        <v>342</v>
      </c>
      <c r="B348" s="113" t="s">
        <v>411</v>
      </c>
      <c r="C348" s="114" t="s">
        <v>2873</v>
      </c>
      <c r="D348" s="115" t="s">
        <v>36</v>
      </c>
      <c r="E348" s="113" t="s">
        <v>484</v>
      </c>
      <c r="F348" s="113" t="str">
        <f>'SU 11007'!B4</f>
        <v>Upper Spacer</v>
      </c>
      <c r="G348" s="115"/>
      <c r="H348" s="116">
        <f>SUM(J348:M348)</f>
        <v>0.39686002835659467</v>
      </c>
      <c r="I348" s="971">
        <f>'SU 11007'!N2</f>
        <v>4</v>
      </c>
      <c r="J348" s="116">
        <f>'SU 11007'!N11</f>
        <v>3.186002835659469E-2</v>
      </c>
      <c r="K348" s="116">
        <f>'SU 11007'!I16</f>
        <v>0.36499999999999999</v>
      </c>
      <c r="L348" s="116">
        <v>0</v>
      </c>
      <c r="M348" s="116">
        <v>0</v>
      </c>
      <c r="N348" s="116">
        <f t="shared" si="18"/>
        <v>1.5874401134263787</v>
      </c>
      <c r="O348" s="117"/>
    </row>
    <row r="349" spans="1:15" ht="13.8" x14ac:dyDescent="0.25">
      <c r="A349" s="107">
        <v>343</v>
      </c>
      <c r="B349" s="108" t="s">
        <v>411</v>
      </c>
      <c r="C349" s="109" t="s">
        <v>496</v>
      </c>
      <c r="D349" s="109" t="s">
        <v>36</v>
      </c>
      <c r="E349" s="109"/>
      <c r="F349" s="108" t="s">
        <v>497</v>
      </c>
      <c r="G349" s="109"/>
      <c r="H349" s="110">
        <f t="shared" si="20"/>
        <v>12.760000000000002</v>
      </c>
      <c r="I349" s="970">
        <f>'SU A0012'!N2</f>
        <v>2</v>
      </c>
      <c r="J349" s="110">
        <v>0</v>
      </c>
      <c r="K349" s="110">
        <f>'SU A0012'!I31</f>
        <v>10.690000000000001</v>
      </c>
      <c r="L349" s="110">
        <f>'SU A0012'!J42</f>
        <v>2.0699999999999998</v>
      </c>
      <c r="M349" s="110">
        <v>0</v>
      </c>
      <c r="N349" s="110">
        <f t="shared" si="18"/>
        <v>25.520000000000003</v>
      </c>
      <c r="O349" s="111"/>
    </row>
    <row r="350" spans="1:15" ht="13.8" x14ac:dyDescent="0.25">
      <c r="A350" s="112">
        <v>344</v>
      </c>
      <c r="B350" s="113" t="s">
        <v>411</v>
      </c>
      <c r="C350" s="114" t="s">
        <v>498</v>
      </c>
      <c r="D350" s="115" t="s">
        <v>36</v>
      </c>
      <c r="E350" s="113" t="s">
        <v>497</v>
      </c>
      <c r="F350" s="113" t="str">
        <f>'SU 12001'!B4</f>
        <v>Rear Uprights</v>
      </c>
      <c r="G350" s="115"/>
      <c r="H350" s="116">
        <f t="shared" si="20"/>
        <v>143.60315641599999</v>
      </c>
      <c r="I350" s="971">
        <f>'SU 12001'!N2</f>
        <v>2</v>
      </c>
      <c r="J350" s="116">
        <f>'SU 12001'!N11</f>
        <v>36.553156415999993</v>
      </c>
      <c r="K350" s="116">
        <f>'SU 12001'!I19</f>
        <v>107.05000000000001</v>
      </c>
      <c r="L350" s="116">
        <v>0</v>
      </c>
      <c r="M350" s="116">
        <v>0</v>
      </c>
      <c r="N350" s="116">
        <f t="shared" si="18"/>
        <v>287.20631283199998</v>
      </c>
      <c r="O350" s="117"/>
    </row>
    <row r="351" spans="1:15" ht="13.8" x14ac:dyDescent="0.25">
      <c r="A351" s="112">
        <v>345</v>
      </c>
      <c r="B351" s="113" t="s">
        <v>411</v>
      </c>
      <c r="C351" s="114" t="s">
        <v>500</v>
      </c>
      <c r="D351" s="115" t="s">
        <v>36</v>
      </c>
      <c r="E351" s="113" t="s">
        <v>497</v>
      </c>
      <c r="F351" s="113" t="str">
        <f>'SU 12002'!B4</f>
        <v>Upper tab</v>
      </c>
      <c r="G351" s="115"/>
      <c r="H351" s="116">
        <f t="shared" si="20"/>
        <v>5.8842220799999998</v>
      </c>
      <c r="I351" s="971">
        <f>'SU 12002'!N2</f>
        <v>4</v>
      </c>
      <c r="J351" s="116">
        <f>'SU 12002'!N11</f>
        <v>0.88142208000000011</v>
      </c>
      <c r="K351" s="116">
        <f>'SU 12002'!I20</f>
        <v>5.0027999999999997</v>
      </c>
      <c r="L351" s="116">
        <v>0</v>
      </c>
      <c r="M351" s="116">
        <v>0</v>
      </c>
      <c r="N351" s="116">
        <f t="shared" si="18"/>
        <v>23.536888319999999</v>
      </c>
      <c r="O351" s="117"/>
    </row>
    <row r="352" spans="1:15" ht="13.8" x14ac:dyDescent="0.25">
      <c r="A352" s="112">
        <v>346</v>
      </c>
      <c r="B352" s="113" t="s">
        <v>411</v>
      </c>
      <c r="C352" s="114" t="s">
        <v>501</v>
      </c>
      <c r="D352" s="115" t="s">
        <v>36</v>
      </c>
      <c r="E352" s="113" t="s">
        <v>497</v>
      </c>
      <c r="F352" s="113" t="str">
        <f>'SU 12003'!B4</f>
        <v>Camber adjustment shims</v>
      </c>
      <c r="G352" s="115"/>
      <c r="H352" s="116">
        <f>SUM(J352:M352)</f>
        <v>0.87216771999999998</v>
      </c>
      <c r="I352" s="971">
        <f>'SU 12003'!N2</f>
        <v>4</v>
      </c>
      <c r="J352" s="116">
        <f>'SU 12003'!N11</f>
        <v>0.30116771999999997</v>
      </c>
      <c r="K352" s="116">
        <f>'SU 12003'!I16</f>
        <v>0.57100000000000006</v>
      </c>
      <c r="L352" s="116">
        <v>0</v>
      </c>
      <c r="M352" s="116">
        <v>0</v>
      </c>
      <c r="N352" s="116">
        <f t="shared" si="18"/>
        <v>3.4886708799999999</v>
      </c>
      <c r="O352" s="117"/>
    </row>
    <row r="353" spans="1:15" ht="13.8" x14ac:dyDescent="0.25">
      <c r="A353" s="112">
        <v>347</v>
      </c>
      <c r="B353" s="113" t="s">
        <v>411</v>
      </c>
      <c r="C353" s="114" t="s">
        <v>502</v>
      </c>
      <c r="D353" s="115" t="s">
        <v>36</v>
      </c>
      <c r="E353" s="113" t="s">
        <v>497</v>
      </c>
      <c r="F353" s="113" t="str">
        <f>'SU 12004'!B4</f>
        <v>Uprights upper reinforcements</v>
      </c>
      <c r="G353" s="115"/>
      <c r="H353" s="116">
        <f t="shared" si="20"/>
        <v>1.9277572800000002</v>
      </c>
      <c r="I353" s="971">
        <f>'SU 12004'!N2</f>
        <v>2</v>
      </c>
      <c r="J353" s="116">
        <f>'SU 12004'!N11</f>
        <v>0.25975727999999998</v>
      </c>
      <c r="K353" s="116">
        <f>'SU 12004'!I17</f>
        <v>1.6680000000000001</v>
      </c>
      <c r="L353" s="116">
        <v>0</v>
      </c>
      <c r="M353" s="116">
        <v>0</v>
      </c>
      <c r="N353" s="116">
        <f>H353*I353</f>
        <v>3.8555145600000005</v>
      </c>
      <c r="O353" s="117"/>
    </row>
    <row r="354" spans="1:15" ht="13.8" x14ac:dyDescent="0.25">
      <c r="A354" s="112">
        <v>348</v>
      </c>
      <c r="B354" s="113" t="s">
        <v>411</v>
      </c>
      <c r="C354" s="114" t="s">
        <v>503</v>
      </c>
      <c r="D354" s="115" t="s">
        <v>36</v>
      </c>
      <c r="E354" s="113" t="s">
        <v>497</v>
      </c>
      <c r="F354" s="113" t="str">
        <f>'SU 12005'!B4</f>
        <v>Uprights lower reinforcements</v>
      </c>
      <c r="G354" s="115"/>
      <c r="H354" s="116">
        <f>SUM(J354:M354)</f>
        <v>1.5264155000000001</v>
      </c>
      <c r="I354" s="971">
        <f>'SU 12005'!N2</f>
        <v>2</v>
      </c>
      <c r="J354" s="116">
        <f>'SU 12005'!N11</f>
        <v>0.11141550000000001</v>
      </c>
      <c r="K354" s="116">
        <f>'SU 12005'!I16</f>
        <v>1.415</v>
      </c>
      <c r="L354" s="116">
        <v>0</v>
      </c>
      <c r="M354" s="116">
        <v>0</v>
      </c>
      <c r="N354" s="116">
        <f>H354*I354</f>
        <v>3.0528310000000003</v>
      </c>
      <c r="O354" s="117"/>
    </row>
    <row r="355" spans="1:15" ht="13.8" x14ac:dyDescent="0.25">
      <c r="A355" s="112">
        <v>349</v>
      </c>
      <c r="B355" s="113" t="s">
        <v>411</v>
      </c>
      <c r="C355" s="114" t="s">
        <v>2892</v>
      </c>
      <c r="D355" s="115" t="s">
        <v>36</v>
      </c>
      <c r="E355" s="113" t="s">
        <v>497</v>
      </c>
      <c r="F355" s="113" t="str">
        <f>'SU 12006'!B4</f>
        <v>Lower Spacer</v>
      </c>
      <c r="G355" s="115"/>
      <c r="H355" s="116">
        <f>SUM(J355:M355)</f>
        <v>0.35948183107117943</v>
      </c>
      <c r="I355" s="971">
        <f>'SU 12006'!N2</f>
        <v>4</v>
      </c>
      <c r="J355" s="116">
        <f>'SU 12006'!N11</f>
        <v>1.4481831071179405E-2</v>
      </c>
      <c r="K355" s="116">
        <f>'SU 12006'!I16</f>
        <v>0.34500000000000003</v>
      </c>
      <c r="L355" s="116">
        <v>0</v>
      </c>
      <c r="M355" s="116">
        <v>0</v>
      </c>
      <c r="N355" s="116">
        <f>H355*I355</f>
        <v>1.4379273242847177</v>
      </c>
      <c r="O355" s="117"/>
    </row>
    <row r="356" spans="1:15" ht="14.4" thickBot="1" x14ac:dyDescent="0.3">
      <c r="A356" s="112">
        <v>350</v>
      </c>
      <c r="B356" s="113" t="s">
        <v>411</v>
      </c>
      <c r="C356" s="114" t="s">
        <v>2894</v>
      </c>
      <c r="D356" s="115" t="s">
        <v>36</v>
      </c>
      <c r="E356" s="113" t="s">
        <v>497</v>
      </c>
      <c r="F356" s="113" t="str">
        <f>'SU 12007'!B4</f>
        <v>Upper Spacer</v>
      </c>
      <c r="G356" s="115"/>
      <c r="H356" s="116">
        <f>SUM(J356:M356)</f>
        <v>0.2343600283565947</v>
      </c>
      <c r="I356" s="971">
        <f>'SU 12007'!N2</f>
        <v>8</v>
      </c>
      <c r="J356" s="116">
        <f>'SU 12007'!N11</f>
        <v>3.186002835659469E-2</v>
      </c>
      <c r="K356" s="116">
        <f>'SU 12007'!I16</f>
        <v>0.20250000000000001</v>
      </c>
      <c r="L356" s="116">
        <v>0</v>
      </c>
      <c r="M356" s="116">
        <v>0</v>
      </c>
      <c r="N356" s="116">
        <f>H356*I356</f>
        <v>1.8748802268527576</v>
      </c>
      <c r="O356" s="117"/>
    </row>
    <row r="357" spans="1:15" s="157" customFormat="1" ht="15" thickTop="1" thickBot="1" x14ac:dyDescent="0.3">
      <c r="A357" s="35">
        <v>351</v>
      </c>
      <c r="B357" s="36" t="s">
        <v>14</v>
      </c>
      <c r="C357" s="64"/>
      <c r="D357" s="64"/>
      <c r="E357" s="64"/>
      <c r="F357" s="36" t="s">
        <v>66</v>
      </c>
      <c r="G357" s="64"/>
      <c r="H357" s="38"/>
      <c r="I357" s="39"/>
      <c r="J357" s="41">
        <f>SUMPRODUCT($I286:$I356,J286:J356)</f>
        <v>1779.858258598937</v>
      </c>
      <c r="K357" s="41">
        <f>SUMPRODUCT($I286:$I356,K286:K356)</f>
        <v>1285.7350679999997</v>
      </c>
      <c r="L357" s="41">
        <f>SUMPRODUCT($I286:$I356,L286:L356)</f>
        <v>27.499999999999996</v>
      </c>
      <c r="M357" s="41">
        <f>SUMPRODUCT($I286:$I356,M286:M356)</f>
        <v>67.333333333333343</v>
      </c>
      <c r="N357" s="41">
        <f>SUM(N286:N356)</f>
        <v>3160.42665993227</v>
      </c>
      <c r="O357" s="42"/>
    </row>
    <row r="358" spans="1:15" ht="14.4" thickTop="1" x14ac:dyDescent="0.25">
      <c r="A358" s="120">
        <v>352</v>
      </c>
      <c r="B358" s="121" t="s">
        <v>15</v>
      </c>
      <c r="C358" s="122" t="s">
        <v>504</v>
      </c>
      <c r="D358" s="122" t="s">
        <v>36</v>
      </c>
      <c r="E358" s="122"/>
      <c r="F358" s="121" t="s">
        <v>505</v>
      </c>
      <c r="G358" s="122"/>
      <c r="H358" s="123">
        <f t="shared" ref="H358:H368" si="21">SUM(J358:M358)</f>
        <v>8.91</v>
      </c>
      <c r="I358" s="973">
        <f>'WT A0001'!N2</f>
        <v>4</v>
      </c>
      <c r="J358" s="123">
        <f>'WT A0001'!N16</f>
        <v>4</v>
      </c>
      <c r="K358" s="123">
        <f>'WT A0001'!I21</f>
        <v>3.31</v>
      </c>
      <c r="L358" s="123">
        <f>'WT A0001'!J25</f>
        <v>1.6</v>
      </c>
      <c r="M358" s="123">
        <v>0</v>
      </c>
      <c r="N358" s="123">
        <f t="shared" ref="N358:N368" si="22">H358*I358</f>
        <v>35.64</v>
      </c>
      <c r="O358" s="124"/>
    </row>
    <row r="359" spans="1:15" ht="13.8" x14ac:dyDescent="0.25">
      <c r="A359" s="125">
        <v>353</v>
      </c>
      <c r="B359" s="126" t="s">
        <v>15</v>
      </c>
      <c r="C359" s="127" t="s">
        <v>506</v>
      </c>
      <c r="D359" s="128" t="s">
        <v>36</v>
      </c>
      <c r="E359" s="128" t="s">
        <v>505</v>
      </c>
      <c r="F359" s="126" t="str">
        <f>'WT 01001'!B4</f>
        <v>Wheel</v>
      </c>
      <c r="G359" s="128"/>
      <c r="H359" s="129">
        <f>SUM(J359:M359)</f>
        <v>115</v>
      </c>
      <c r="I359" s="974">
        <f>'WT 01001'!N2</f>
        <v>4</v>
      </c>
      <c r="J359" s="129">
        <f>'WT 01001'!N11</f>
        <v>115</v>
      </c>
      <c r="K359" s="129">
        <v>0</v>
      </c>
      <c r="L359" s="129">
        <v>0</v>
      </c>
      <c r="M359" s="129">
        <v>0</v>
      </c>
      <c r="N359" s="129">
        <f>H359*I359</f>
        <v>460</v>
      </c>
      <c r="O359" s="130"/>
    </row>
    <row r="360" spans="1:15" ht="13.8" x14ac:dyDescent="0.25">
      <c r="A360" s="125">
        <v>354</v>
      </c>
      <c r="B360" s="126" t="s">
        <v>15</v>
      </c>
      <c r="C360" s="127" t="s">
        <v>508</v>
      </c>
      <c r="D360" s="128" t="s">
        <v>36</v>
      </c>
      <c r="E360" s="128" t="s">
        <v>505</v>
      </c>
      <c r="F360" s="131" t="str">
        <f>'WT 01002'!B4</f>
        <v>Tire</v>
      </c>
      <c r="G360" s="128"/>
      <c r="H360" s="129">
        <f t="shared" si="21"/>
        <v>85</v>
      </c>
      <c r="I360" s="974">
        <f>'WT 01002'!N2</f>
        <v>4</v>
      </c>
      <c r="J360" s="129">
        <f>'WT 01002'!N11</f>
        <v>85</v>
      </c>
      <c r="K360" s="129">
        <v>0</v>
      </c>
      <c r="L360" s="129">
        <v>0</v>
      </c>
      <c r="M360" s="129">
        <v>0</v>
      </c>
      <c r="N360" s="129">
        <f t="shared" si="22"/>
        <v>340</v>
      </c>
      <c r="O360" s="130"/>
    </row>
    <row r="361" spans="1:15" ht="13.8" x14ac:dyDescent="0.25">
      <c r="A361" s="125">
        <v>355</v>
      </c>
      <c r="B361" s="126" t="s">
        <v>15</v>
      </c>
      <c r="C361" s="127" t="s">
        <v>510</v>
      </c>
      <c r="D361" s="128" t="s">
        <v>36</v>
      </c>
      <c r="E361" s="128" t="s">
        <v>505</v>
      </c>
      <c r="F361" s="126" t="str">
        <f>'WT 01003'!B4</f>
        <v>Valve stem</v>
      </c>
      <c r="G361" s="128"/>
      <c r="H361" s="129">
        <f t="shared" si="21"/>
        <v>1</v>
      </c>
      <c r="I361" s="974">
        <f>'WT 01003'!N2</f>
        <v>4</v>
      </c>
      <c r="J361" s="129">
        <f>'WT 01003'!N11</f>
        <v>1</v>
      </c>
      <c r="K361" s="129">
        <v>0</v>
      </c>
      <c r="L361" s="129">
        <v>0</v>
      </c>
      <c r="M361" s="129">
        <v>0</v>
      </c>
      <c r="N361" s="129">
        <f t="shared" si="22"/>
        <v>4</v>
      </c>
      <c r="O361" s="130"/>
    </row>
    <row r="362" spans="1:15" ht="13.8" x14ac:dyDescent="0.25">
      <c r="A362" s="120">
        <v>356</v>
      </c>
      <c r="B362" s="121" t="s">
        <v>15</v>
      </c>
      <c r="C362" s="122" t="s">
        <v>511</v>
      </c>
      <c r="D362" s="122" t="s">
        <v>36</v>
      </c>
      <c r="E362" s="122"/>
      <c r="F362" s="121" t="s">
        <v>512</v>
      </c>
      <c r="G362" s="122"/>
      <c r="H362" s="123">
        <f t="shared" si="21"/>
        <v>34.880000000000003</v>
      </c>
      <c r="I362" s="973">
        <f>'WT A0002'!N2</f>
        <v>2</v>
      </c>
      <c r="J362" s="123">
        <f>'WT A0002'!N16</f>
        <v>18.260000000000002</v>
      </c>
      <c r="K362" s="123">
        <f>'WT A0002'!I22</f>
        <v>3.14</v>
      </c>
      <c r="L362" s="123">
        <f>'WT A0002'!J26</f>
        <v>13.48</v>
      </c>
      <c r="M362" s="123">
        <v>0</v>
      </c>
      <c r="N362" s="123">
        <f t="shared" si="22"/>
        <v>69.760000000000005</v>
      </c>
      <c r="O362" s="124"/>
    </row>
    <row r="363" spans="1:15" ht="13.8" x14ac:dyDescent="0.25">
      <c r="A363" s="125">
        <v>357</v>
      </c>
      <c r="B363" s="126" t="s">
        <v>15</v>
      </c>
      <c r="C363" s="127" t="s">
        <v>513</v>
      </c>
      <c r="D363" s="128" t="s">
        <v>36</v>
      </c>
      <c r="E363" s="128" t="s">
        <v>512</v>
      </c>
      <c r="F363" s="126" t="str">
        <f>'WT 02001'!B4</f>
        <v>Front hub</v>
      </c>
      <c r="G363" s="132"/>
      <c r="H363" s="129">
        <f t="shared" si="21"/>
        <v>91.313579720000007</v>
      </c>
      <c r="I363" s="974">
        <f>'WT 02001'!N2</f>
        <v>2</v>
      </c>
      <c r="J363" s="129">
        <f>'WT 02001'!N11</f>
        <v>19.263579720000006</v>
      </c>
      <c r="K363" s="129">
        <f>'WT 02001'!I20</f>
        <v>72.05</v>
      </c>
      <c r="L363" s="129">
        <v>0</v>
      </c>
      <c r="M363" s="129">
        <v>0</v>
      </c>
      <c r="N363" s="129">
        <f t="shared" si="22"/>
        <v>182.62715944000001</v>
      </c>
      <c r="O363" s="130"/>
    </row>
    <row r="364" spans="1:15" ht="13.8" x14ac:dyDescent="0.25">
      <c r="A364" s="125">
        <v>358</v>
      </c>
      <c r="B364" s="126" t="s">
        <v>15</v>
      </c>
      <c r="C364" s="127" t="s">
        <v>515</v>
      </c>
      <c r="D364" s="128" t="s">
        <v>36</v>
      </c>
      <c r="E364" s="128" t="s">
        <v>512</v>
      </c>
      <c r="F364" s="126" t="str">
        <f>'WT 02002'!B4</f>
        <v>Bearings</v>
      </c>
      <c r="G364" s="128"/>
      <c r="H364" s="129">
        <f t="shared" si="21"/>
        <v>122.59</v>
      </c>
      <c r="I364" s="974">
        <f>'WT 02002'!N2</f>
        <v>4</v>
      </c>
      <c r="J364" s="129">
        <f>'WT 02002'!N11</f>
        <v>122.59</v>
      </c>
      <c r="K364" s="129">
        <v>0</v>
      </c>
      <c r="L364" s="129">
        <v>0</v>
      </c>
      <c r="M364" s="129">
        <v>0</v>
      </c>
      <c r="N364" s="129">
        <f t="shared" si="22"/>
        <v>490.36</v>
      </c>
      <c r="O364" s="130"/>
    </row>
    <row r="365" spans="1:15" ht="13.8" x14ac:dyDescent="0.25">
      <c r="A365" s="125">
        <v>359</v>
      </c>
      <c r="B365" s="126" t="s">
        <v>15</v>
      </c>
      <c r="C365" s="127" t="s">
        <v>2931</v>
      </c>
      <c r="D365" s="128" t="s">
        <v>36</v>
      </c>
      <c r="E365" s="128" t="s">
        <v>512</v>
      </c>
      <c r="F365" s="126" t="str">
        <f>'WT 02003'!B4</f>
        <v>Car wheel speed target</v>
      </c>
      <c r="G365" s="128"/>
      <c r="H365" s="129">
        <f>SUM(J365:M365)</f>
        <v>6.0798595299999993</v>
      </c>
      <c r="I365" s="974">
        <f>'WT 02003'!N2</f>
        <v>1</v>
      </c>
      <c r="J365" s="129">
        <f>'WT 02003'!N11</f>
        <v>0.6638595300000002</v>
      </c>
      <c r="K365" s="129">
        <f>'WT 02003'!I17</f>
        <v>5.4159999999999995</v>
      </c>
      <c r="L365" s="129">
        <v>0</v>
      </c>
      <c r="M365" s="129">
        <v>0</v>
      </c>
      <c r="N365" s="129">
        <f t="shared" si="22"/>
        <v>6.0798595299999993</v>
      </c>
      <c r="O365" s="130"/>
    </row>
    <row r="366" spans="1:15" ht="13.8" x14ac:dyDescent="0.25">
      <c r="A366" s="120">
        <v>360</v>
      </c>
      <c r="B366" s="121" t="s">
        <v>15</v>
      </c>
      <c r="C366" s="122" t="s">
        <v>517</v>
      </c>
      <c r="D366" s="122" t="s">
        <v>36</v>
      </c>
      <c r="E366" s="122"/>
      <c r="F366" s="121" t="s">
        <v>518</v>
      </c>
      <c r="G366" s="122"/>
      <c r="H366" s="123">
        <f t="shared" si="21"/>
        <v>36.880000000000003</v>
      </c>
      <c r="I366" s="973">
        <f>'WT A0003'!N2</f>
        <v>2</v>
      </c>
      <c r="J366" s="123">
        <f>'WT A0003'!N15</f>
        <v>18.260000000000002</v>
      </c>
      <c r="K366" s="123">
        <f>'WT A0003'!I21</f>
        <v>5.1400000000000006</v>
      </c>
      <c r="L366" s="123">
        <f>'WT A0003'!J25</f>
        <v>13.48</v>
      </c>
      <c r="M366" s="123">
        <v>0</v>
      </c>
      <c r="N366" s="123">
        <f t="shared" si="22"/>
        <v>73.760000000000005</v>
      </c>
      <c r="O366" s="124"/>
    </row>
    <row r="367" spans="1:15" ht="13.8" x14ac:dyDescent="0.25">
      <c r="A367" s="125">
        <v>361</v>
      </c>
      <c r="B367" s="126" t="s">
        <v>15</v>
      </c>
      <c r="C367" s="127" t="s">
        <v>519</v>
      </c>
      <c r="D367" s="128" t="s">
        <v>36</v>
      </c>
      <c r="E367" s="128" t="s">
        <v>518</v>
      </c>
      <c r="F367" s="126" t="str">
        <f>'WT 03001'!B4</f>
        <v>Rear hub</v>
      </c>
      <c r="G367" s="128"/>
      <c r="H367" s="129">
        <f t="shared" si="21"/>
        <v>93.113579720000004</v>
      </c>
      <c r="I367" s="974">
        <f>'WT 03001'!N2</f>
        <v>2</v>
      </c>
      <c r="J367" s="129">
        <f>'WT 03001'!N11</f>
        <v>19.263579720000006</v>
      </c>
      <c r="K367" s="129">
        <f>'WT 03001'!I21</f>
        <v>73.849999999999994</v>
      </c>
      <c r="L367" s="129">
        <v>0</v>
      </c>
      <c r="M367" s="129">
        <v>0</v>
      </c>
      <c r="N367" s="129">
        <f t="shared" si="22"/>
        <v>186.22715944000001</v>
      </c>
      <c r="O367" s="130"/>
    </row>
    <row r="368" spans="1:15" ht="14.4" thickBot="1" x14ac:dyDescent="0.3">
      <c r="A368" s="125">
        <v>362</v>
      </c>
      <c r="B368" s="126" t="s">
        <v>15</v>
      </c>
      <c r="C368" s="127" t="s">
        <v>521</v>
      </c>
      <c r="D368" s="128" t="s">
        <v>36</v>
      </c>
      <c r="E368" s="128" t="s">
        <v>518</v>
      </c>
      <c r="F368" s="126" t="str">
        <f>'WT 03002'!B4</f>
        <v>Bearings</v>
      </c>
      <c r="G368" s="128"/>
      <c r="H368" s="129">
        <f t="shared" si="21"/>
        <v>122.59</v>
      </c>
      <c r="I368" s="974">
        <f>'WT 03002'!N2</f>
        <v>4</v>
      </c>
      <c r="J368" s="129">
        <f>'WT 03002'!N11</f>
        <v>122.59</v>
      </c>
      <c r="K368" s="129">
        <v>0</v>
      </c>
      <c r="L368" s="129">
        <v>0</v>
      </c>
      <c r="M368" s="129">
        <v>0</v>
      </c>
      <c r="N368" s="129">
        <f t="shared" si="22"/>
        <v>490.36</v>
      </c>
      <c r="O368" s="130"/>
    </row>
    <row r="369" spans="1:15" s="157" customFormat="1" ht="15" thickTop="1" thickBot="1" x14ac:dyDescent="0.3">
      <c r="A369" s="35">
        <v>363</v>
      </c>
      <c r="B369" s="36" t="s">
        <v>15</v>
      </c>
      <c r="C369" s="64"/>
      <c r="D369" s="64"/>
      <c r="E369" s="64"/>
      <c r="F369" s="36" t="s">
        <v>66</v>
      </c>
      <c r="G369" s="64"/>
      <c r="H369" s="38"/>
      <c r="I369" s="39"/>
      <c r="J369" s="41">
        <f>SUMPRODUCT($I358:$I368,J358:J368)</f>
        <v>1951.4781784100001</v>
      </c>
      <c r="K369" s="41">
        <f>SUMPRODUCT($I358:$I368,K358:K368)</f>
        <v>327.01599999999996</v>
      </c>
      <c r="L369" s="41">
        <f>SUMPRODUCT($I358:$I368,L358:L368)</f>
        <v>60.32</v>
      </c>
      <c r="M369" s="41">
        <f>SUMPRODUCT($I358:$I368,M358:M368)</f>
        <v>0</v>
      </c>
      <c r="N369" s="41">
        <f>SUM(N358:N368)</f>
        <v>2338.8141784100003</v>
      </c>
      <c r="O369" s="42"/>
    </row>
    <row r="370" spans="1:15" ht="15" thickTop="1" thickBot="1" x14ac:dyDescent="0.3">
      <c r="A370" s="133">
        <v>364</v>
      </c>
      <c r="B370" s="134" t="s">
        <v>522</v>
      </c>
      <c r="C370" s="135"/>
      <c r="D370" s="135"/>
      <c r="E370" s="135"/>
      <c r="F370" s="136" t="s">
        <v>7</v>
      </c>
      <c r="G370" s="135"/>
      <c r="H370" s="137"/>
      <c r="I370" s="135"/>
      <c r="J370" s="138">
        <f>J369+J357+J285+J256+J27+J122+J203+J221</f>
        <v>10899.391775609403</v>
      </c>
      <c r="K370" s="138">
        <f>K369+K357+K285+K256+K27+K122+K203+K221</f>
        <v>6313.2898213960534</v>
      </c>
      <c r="L370" s="138">
        <f>L369+L357+L285+L256+L27+L122+L203+L221</f>
        <v>212.97499999999999</v>
      </c>
      <c r="M370" s="138">
        <f>M369+M357+M285+M256+M27+M122+M203+M221</f>
        <v>299.16466666666668</v>
      </c>
      <c r="N370" s="138">
        <f>N369+N357+N285+N256+N27+N122+N203+N221</f>
        <v>17724.821263672122</v>
      </c>
      <c r="O370" s="135"/>
    </row>
    <row r="371" spans="1:15" ht="13.8" thickTop="1" x14ac:dyDescent="0.25">
      <c r="A371" s="158"/>
      <c r="B371" s="143"/>
      <c r="C371" s="146"/>
      <c r="D371" s="146"/>
      <c r="E371" s="146"/>
      <c r="F371" s="146"/>
      <c r="G371" s="146"/>
      <c r="H371" s="159"/>
      <c r="I371" s="146"/>
      <c r="J371" s="146"/>
      <c r="K371" s="146"/>
      <c r="L371" s="146"/>
      <c r="M371" s="146"/>
      <c r="N371" s="146"/>
    </row>
  </sheetData>
  <pageMargins left="0.7" right="0.7" top="0.75" bottom="0.75" header="0.3" footer="0.3"/>
  <pageSetup paperSize="9" orientation="portrait"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28.88671875" style="161" customWidth="1"/>
    <col min="3" max="3" width="16.88671875" style="161" customWidth="1"/>
    <col min="4" max="4" width="13.5546875" style="161" bestFit="1" customWidth="1"/>
    <col min="5" max="5" width="10.5546875" style="161" customWidth="1"/>
    <col min="6" max="6" width="9.33203125" style="161" customWidth="1"/>
    <col min="7" max="7" width="14.44140625" style="161" bestFit="1" customWidth="1"/>
    <col min="8" max="8" width="12.44140625" style="161" bestFit="1" customWidth="1"/>
    <col min="9" max="9" width="15.88671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88671875" style="161" bestFit="1" customWidth="1"/>
    <col min="14" max="14" width="13.441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N11+I17</f>
        <v>9.8042250400000004</v>
      </c>
    </row>
    <row r="2" spans="1:14" x14ac:dyDescent="0.3">
      <c r="A2" s="342" t="s">
        <v>532</v>
      </c>
      <c r="B2" s="161" t="s">
        <v>780</v>
      </c>
      <c r="C2" s="318" t="s">
        <v>732</v>
      </c>
      <c r="D2" s="345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68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776</v>
      </c>
      <c r="D4" s="342" t="s">
        <v>541</v>
      </c>
      <c r="J4" s="342" t="s">
        <v>538</v>
      </c>
      <c r="M4" s="342" t="s">
        <v>539</v>
      </c>
      <c r="N4" s="336">
        <f>N1*N2</f>
        <v>19.608450080000001</v>
      </c>
    </row>
    <row r="5" spans="1:14" x14ac:dyDescent="0.3">
      <c r="A5" s="342" t="s">
        <v>537</v>
      </c>
      <c r="B5" s="166" t="s">
        <v>73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606</v>
      </c>
      <c r="C10" s="168" t="s">
        <v>793</v>
      </c>
      <c r="D10" s="323">
        <v>2.25</v>
      </c>
      <c r="E10" s="168">
        <v>52</v>
      </c>
      <c r="F10" s="168" t="s">
        <v>573</v>
      </c>
      <c r="G10" s="168">
        <v>42</v>
      </c>
      <c r="H10" s="219" t="s">
        <v>573</v>
      </c>
      <c r="I10" s="269" t="s">
        <v>792</v>
      </c>
      <c r="J10" s="340">
        <f>42*52/1000000</f>
        <v>2.1840000000000002E-3</v>
      </c>
      <c r="K10" s="228">
        <v>2.5999999999999999E-2</v>
      </c>
      <c r="L10" s="219">
        <v>7860</v>
      </c>
      <c r="M10" s="339">
        <v>1</v>
      </c>
      <c r="N10" s="322">
        <f>IF(J10="",D10*M10,D10*J10*K10*L10*M10)</f>
        <v>1.0042250399999999</v>
      </c>
    </row>
    <row r="11" spans="1:14" s="178" customFormat="1" x14ac:dyDescent="0.3">
      <c r="M11" s="338" t="s">
        <v>547</v>
      </c>
      <c r="N11" s="337">
        <f>SUM(N10:N10)</f>
        <v>1.0042250399999999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31.95" customHeight="1" x14ac:dyDescent="0.3">
      <c r="A14" s="168">
        <v>10</v>
      </c>
      <c r="B14" s="315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IF('EN 01004'!$H14&lt;&gt;"",'EN 01004'!$D14*'EN 01004'!$F14*'EN 01004'!$H14,'EN 01004'!$D14*'EN 01004'!$F14)</f>
        <v>1.3</v>
      </c>
    </row>
    <row r="15" spans="1:14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45</v>
      </c>
      <c r="G15" s="168" t="s">
        <v>784</v>
      </c>
      <c r="H15" s="168">
        <v>3</v>
      </c>
      <c r="I15" s="322">
        <f>IF('EN 01004'!$H15&lt;&gt;"",'EN 01004'!$D15*'EN 01004'!$F15*'EN 01004'!$H15,'EN 01004'!$D15*'EN 01004'!$F15)</f>
        <v>5.4</v>
      </c>
    </row>
    <row r="16" spans="1:14" x14ac:dyDescent="0.3">
      <c r="A16" s="168">
        <v>30</v>
      </c>
      <c r="B16" s="180" t="s">
        <v>791</v>
      </c>
      <c r="C16" s="171"/>
      <c r="D16" s="323">
        <v>0.35</v>
      </c>
      <c r="E16" s="168" t="s">
        <v>556</v>
      </c>
      <c r="F16" s="168">
        <v>2</v>
      </c>
      <c r="G16" s="168" t="s">
        <v>784</v>
      </c>
      <c r="H16" s="168">
        <v>3</v>
      </c>
      <c r="I16" s="322">
        <f>IF('EN 01004'!$H16&lt;&gt;"",'EN 01004'!$D16*'EN 01004'!$F16*'EN 01004'!$H16,'EN 01004'!$D16*'EN 01004'!$F16)</f>
        <v>2.0999999999999996</v>
      </c>
    </row>
    <row r="17" spans="8:9" s="178" customFormat="1" x14ac:dyDescent="0.3">
      <c r="H17" s="338" t="s">
        <v>547</v>
      </c>
      <c r="I17" s="337">
        <f>SUM(I14:I16)</f>
        <v>8.8000000000000007</v>
      </c>
    </row>
  </sheetData>
  <hyperlinks>
    <hyperlink ref="D2" location="'Bottom mount drawing'!A1" display="FileLink1"/>
  </hyperlinks>
  <pageMargins left="0.5" right="0.5" top="0.75" bottom="0.75" header="0.3" footer="0.3"/>
  <pageSetup paperSize="9" scale="67" orientation="landscape" r:id="rId1"/>
</worksheet>
</file>

<file path=xl/worksheets/sheet3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8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3320312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20.77734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N11+I20</f>
        <v>4.3912299199999998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431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419</v>
      </c>
      <c r="D4" s="837" t="s">
        <v>541</v>
      </c>
      <c r="J4" s="837" t="s">
        <v>538</v>
      </c>
      <c r="M4" s="837" t="s">
        <v>539</v>
      </c>
      <c r="N4" s="336">
        <f>N1*N2</f>
        <v>17.564919679999999</v>
      </c>
    </row>
    <row r="5" spans="1:14" x14ac:dyDescent="0.3">
      <c r="A5" s="837" t="s">
        <v>537</v>
      </c>
      <c r="B5" s="199" t="s">
        <v>435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634" t="s">
        <v>726</v>
      </c>
      <c r="C10" s="183" t="s">
        <v>607</v>
      </c>
      <c r="D10" s="241">
        <v>2.25</v>
      </c>
      <c r="E10" s="183">
        <v>4.1000000000000002E-2</v>
      </c>
      <c r="F10" s="183" t="s">
        <v>644</v>
      </c>
      <c r="G10" s="183">
        <v>3.2000000000000001E-2</v>
      </c>
      <c r="H10" s="204" t="s">
        <v>644</v>
      </c>
      <c r="I10" s="269" t="s">
        <v>2675</v>
      </c>
      <c r="J10" s="206">
        <f>E10*G10</f>
        <v>1.312E-3</v>
      </c>
      <c r="K10" s="207">
        <v>1.0999999999999999E-2</v>
      </c>
      <c r="L10" s="204">
        <v>7860</v>
      </c>
      <c r="M10" s="183">
        <v>1</v>
      </c>
      <c r="N10" s="385">
        <f>IF(J10="",D10*M10,D10*J10*K10*L10*M10)</f>
        <v>0.25522992000000005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0.25522992000000005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 t="shared" ref="I14:I19" si="0">IF($H14&lt;&gt;"",$D14*$F14*$H14,$D14*$F14)</f>
        <v>1.3</v>
      </c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2.8</v>
      </c>
      <c r="G15" s="184" t="s">
        <v>598</v>
      </c>
      <c r="H15" s="168">
        <v>3</v>
      </c>
      <c r="I15" s="323">
        <f t="shared" si="0"/>
        <v>0.33599999999999997</v>
      </c>
    </row>
    <row r="16" spans="1:14" ht="28.8" x14ac:dyDescent="0.3">
      <c r="A16" s="168">
        <v>30</v>
      </c>
      <c r="B16" s="315" t="s">
        <v>609</v>
      </c>
      <c r="C16" s="193" t="s">
        <v>2690</v>
      </c>
      <c r="D16" s="323">
        <v>0.04</v>
      </c>
      <c r="E16" s="168" t="s">
        <v>610</v>
      </c>
      <c r="F16" s="168">
        <v>3.5</v>
      </c>
      <c r="G16" s="184" t="s">
        <v>598</v>
      </c>
      <c r="H16" s="168">
        <v>3</v>
      </c>
      <c r="I16" s="323">
        <f t="shared" si="0"/>
        <v>0.42000000000000004</v>
      </c>
    </row>
    <row r="17" spans="1:14" ht="43.2" x14ac:dyDescent="0.3">
      <c r="A17" s="168">
        <v>40</v>
      </c>
      <c r="B17" s="180" t="s">
        <v>589</v>
      </c>
      <c r="C17" s="171"/>
      <c r="D17" s="323">
        <v>1.3</v>
      </c>
      <c r="E17" s="168"/>
      <c r="F17" s="168">
        <v>1</v>
      </c>
      <c r="G17" s="168"/>
      <c r="H17" s="168"/>
      <c r="I17" s="323">
        <f t="shared" si="0"/>
        <v>1.3</v>
      </c>
    </row>
    <row r="18" spans="1:14" ht="28.8" x14ac:dyDescent="0.3">
      <c r="A18" s="168">
        <v>50</v>
      </c>
      <c r="B18" s="180" t="s">
        <v>791</v>
      </c>
      <c r="C18" s="171"/>
      <c r="D18" s="323">
        <v>0.35</v>
      </c>
      <c r="E18" s="168"/>
      <c r="F18" s="168">
        <v>2</v>
      </c>
      <c r="G18" s="168"/>
      <c r="H18" s="168"/>
      <c r="I18" s="323">
        <f t="shared" si="0"/>
        <v>0.7</v>
      </c>
    </row>
    <row r="19" spans="1:14" ht="43.2" x14ac:dyDescent="0.3">
      <c r="A19" s="168">
        <v>60</v>
      </c>
      <c r="B19" s="180" t="s">
        <v>862</v>
      </c>
      <c r="C19" s="193"/>
      <c r="D19" s="323">
        <v>0.1</v>
      </c>
      <c r="E19" s="168" t="s">
        <v>593</v>
      </c>
      <c r="F19" s="168">
        <v>0.8</v>
      </c>
      <c r="G19" s="168"/>
      <c r="H19" s="168"/>
      <c r="I19" s="323">
        <f t="shared" si="0"/>
        <v>8.0000000000000016E-2</v>
      </c>
    </row>
    <row r="20" spans="1:14" x14ac:dyDescent="0.3">
      <c r="A20" s="178"/>
      <c r="B20" s="178"/>
      <c r="C20" s="178"/>
      <c r="D20" s="178"/>
      <c r="E20" s="178"/>
      <c r="F20" s="178"/>
      <c r="G20" s="178"/>
      <c r="H20" s="840" t="s">
        <v>547</v>
      </c>
      <c r="I20" s="841">
        <f>SUM(I14:I19)</f>
        <v>4.1360000000000001</v>
      </c>
    </row>
    <row r="21" spans="1:14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3" spans="1:14" s="178" customFormat="1" x14ac:dyDescent="0.3">
      <c r="A23" s="161"/>
      <c r="B23" s="161"/>
      <c r="C23" s="161"/>
      <c r="D23" s="161"/>
      <c r="E23" s="161"/>
      <c r="F23" s="161"/>
      <c r="G23" s="161"/>
      <c r="H23" s="161"/>
      <c r="I23" s="161"/>
      <c r="J23" s="161"/>
      <c r="K23" s="161"/>
      <c r="L23" s="161"/>
      <c r="M23" s="161"/>
      <c r="N23" s="161"/>
    </row>
    <row r="25" spans="1:14" x14ac:dyDescent="0.3">
      <c r="J25" s="178"/>
      <c r="K25" s="178"/>
      <c r="L25" s="178"/>
      <c r="M25" s="178"/>
      <c r="N25" s="178"/>
    </row>
    <row r="27" spans="1:14" x14ac:dyDescent="0.3">
      <c r="K27" s="178"/>
      <c r="L27" s="178"/>
      <c r="M27" s="178"/>
      <c r="N27" s="178"/>
    </row>
    <row r="32" spans="1:14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</row>
    <row r="34" spans="1:14" s="178" customFormat="1" x14ac:dyDescent="0.3">
      <c r="A34" s="161"/>
      <c r="B34" s="161"/>
      <c r="C34" s="161"/>
      <c r="D34" s="161"/>
      <c r="E34" s="161"/>
      <c r="F34" s="161"/>
      <c r="G34" s="161"/>
      <c r="H34" s="161"/>
      <c r="I34" s="161"/>
      <c r="J34" s="161"/>
      <c r="K34" s="161"/>
      <c r="L34" s="161"/>
      <c r="M34" s="161"/>
      <c r="N34" s="161"/>
    </row>
    <row r="36" spans="1:14" x14ac:dyDescent="0.3">
      <c r="K36" s="178"/>
      <c r="L36" s="178"/>
      <c r="M36" s="178"/>
      <c r="N36" s="178"/>
    </row>
    <row r="38" spans="1:14" x14ac:dyDescent="0.3">
      <c r="K38" s="178"/>
      <c r="L38" s="178"/>
      <c r="M38" s="178"/>
      <c r="N38" s="178"/>
    </row>
    <row r="41" spans="1:14" x14ac:dyDescent="0.3">
      <c r="K41" s="178"/>
      <c r="L41" s="178"/>
      <c r="M41" s="178"/>
      <c r="N41" s="178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45" spans="1:14" s="178" customFormat="1" x14ac:dyDescent="0.3">
      <c r="A45" s="161"/>
      <c r="B45" s="161"/>
      <c r="C45" s="161"/>
      <c r="D45" s="161"/>
      <c r="E45" s="161"/>
      <c r="F45" s="161"/>
      <c r="G45" s="161"/>
      <c r="H45" s="161"/>
      <c r="I45" s="161"/>
      <c r="J45" s="161"/>
      <c r="K45" s="161"/>
      <c r="L45" s="161"/>
      <c r="M45" s="161"/>
      <c r="N45" s="161"/>
    </row>
    <row r="48" spans="1:14" s="178" customFormat="1" x14ac:dyDescent="0.3">
      <c r="A48" s="161"/>
      <c r="B48" s="161"/>
      <c r="C48" s="161"/>
      <c r="D48" s="161"/>
      <c r="E48" s="161"/>
      <c r="F48" s="161"/>
      <c r="G48" s="161"/>
      <c r="H48" s="161"/>
      <c r="I48" s="161"/>
      <c r="J48" s="161"/>
      <c r="K48" s="161"/>
      <c r="L48" s="161"/>
      <c r="M48" s="161"/>
      <c r="N48" s="161"/>
    </row>
  </sheetData>
  <pageMargins left="0.7" right="0.7" top="0.75" bottom="0.75" header="0.3" footer="0.3"/>
  <pageSetup paperSize="9" scale="66" orientation="landscape" r:id="rId1"/>
</worksheet>
</file>

<file path=xl/worksheets/sheet3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5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9.5546875" style="161" customWidth="1"/>
    <col min="3" max="3" width="19.7773437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6.332031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6640625" style="16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N11+I27</f>
        <v>15.847862640000002</v>
      </c>
    </row>
    <row r="2" spans="1:14" x14ac:dyDescent="0.3">
      <c r="A2" s="837" t="s">
        <v>532</v>
      </c>
      <c r="B2" s="161" t="s">
        <v>411</v>
      </c>
      <c r="C2" s="359" t="s">
        <v>732</v>
      </c>
      <c r="D2" s="843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431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2701</v>
      </c>
      <c r="D4" s="837" t="s">
        <v>541</v>
      </c>
      <c r="J4" s="837" t="s">
        <v>538</v>
      </c>
      <c r="M4" s="837" t="s">
        <v>539</v>
      </c>
      <c r="N4" s="336">
        <f>N1*N2</f>
        <v>31.695725280000005</v>
      </c>
    </row>
    <row r="5" spans="1:14" x14ac:dyDescent="0.3">
      <c r="A5" s="837" t="s">
        <v>537</v>
      </c>
      <c r="B5" s="199" t="s">
        <v>436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1275</v>
      </c>
      <c r="C10" s="183" t="s">
        <v>607</v>
      </c>
      <c r="D10" s="241">
        <v>2.25</v>
      </c>
      <c r="E10" s="183">
        <v>6.3E-2</v>
      </c>
      <c r="F10" s="183" t="s">
        <v>644</v>
      </c>
      <c r="G10" s="183">
        <v>6.2E-2</v>
      </c>
      <c r="H10" s="204" t="s">
        <v>644</v>
      </c>
      <c r="I10" s="269" t="s">
        <v>2706</v>
      </c>
      <c r="J10" s="206">
        <f>E10*G10</f>
        <v>3.9060000000000002E-3</v>
      </c>
      <c r="K10" s="207">
        <v>2.4E-2</v>
      </c>
      <c r="L10" s="204">
        <v>7860</v>
      </c>
      <c r="M10" s="183">
        <v>1</v>
      </c>
      <c r="N10" s="385">
        <f>IF(J10="",D10*M10,D10*J10*K10*L10*M10)</f>
        <v>1.6578626400000003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1.6578626400000003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36.299999999999997</v>
      </c>
      <c r="G15" s="184" t="s">
        <v>598</v>
      </c>
      <c r="H15" s="168">
        <v>3</v>
      </c>
      <c r="I15" s="323">
        <f t="shared" ref="I15:I26" si="0">IF($H15&lt;&gt;"",$D15*$F15*$H15,$D15*$F15)</f>
        <v>4.3559999999999999</v>
      </c>
    </row>
    <row r="16" spans="1:14" ht="28.8" x14ac:dyDescent="0.3">
      <c r="A16" s="168">
        <v>30</v>
      </c>
      <c r="B16" s="315" t="s">
        <v>785</v>
      </c>
      <c r="C16" s="193"/>
      <c r="D16" s="323">
        <v>0.65</v>
      </c>
      <c r="E16" s="168"/>
      <c r="F16" s="168">
        <v>1</v>
      </c>
      <c r="G16" s="168"/>
      <c r="H16" s="168"/>
      <c r="I16" s="323">
        <f t="shared" si="0"/>
        <v>0.65</v>
      </c>
    </row>
    <row r="17" spans="1:14" ht="28.8" x14ac:dyDescent="0.3">
      <c r="A17" s="168">
        <v>40</v>
      </c>
      <c r="B17" s="180" t="s">
        <v>609</v>
      </c>
      <c r="C17" s="193" t="s">
        <v>2694</v>
      </c>
      <c r="D17" s="323">
        <v>0.04</v>
      </c>
      <c r="E17" s="168" t="s">
        <v>610</v>
      </c>
      <c r="F17" s="168">
        <v>3.5</v>
      </c>
      <c r="G17" s="184" t="s">
        <v>598</v>
      </c>
      <c r="H17" s="168">
        <v>3</v>
      </c>
      <c r="I17" s="323">
        <f t="shared" si="0"/>
        <v>0.42000000000000004</v>
      </c>
    </row>
    <row r="18" spans="1:14" ht="28.8" x14ac:dyDescent="0.3">
      <c r="A18" s="168">
        <v>50</v>
      </c>
      <c r="B18" s="180" t="s">
        <v>589</v>
      </c>
      <c r="C18" s="193"/>
      <c r="D18" s="323">
        <v>1.3</v>
      </c>
      <c r="E18" s="168"/>
      <c r="F18" s="168">
        <v>1</v>
      </c>
      <c r="G18" s="168"/>
      <c r="H18" s="168"/>
      <c r="I18" s="323">
        <f t="shared" si="0"/>
        <v>1.3</v>
      </c>
    </row>
    <row r="19" spans="1:14" ht="28.8" x14ac:dyDescent="0.3">
      <c r="A19" s="168">
        <v>60</v>
      </c>
      <c r="B19" s="180" t="s">
        <v>609</v>
      </c>
      <c r="C19" s="193" t="s">
        <v>2707</v>
      </c>
      <c r="D19" s="323">
        <v>0.04</v>
      </c>
      <c r="E19" s="168" t="s">
        <v>610</v>
      </c>
      <c r="F19" s="168">
        <v>5.2</v>
      </c>
      <c r="G19" s="184" t="s">
        <v>598</v>
      </c>
      <c r="H19" s="168">
        <v>3</v>
      </c>
      <c r="I19" s="323">
        <f t="shared" si="0"/>
        <v>0.62400000000000011</v>
      </c>
    </row>
    <row r="20" spans="1:14" ht="28.8" x14ac:dyDescent="0.3">
      <c r="A20" s="168">
        <v>70</v>
      </c>
      <c r="B20" s="180" t="s">
        <v>589</v>
      </c>
      <c r="C20" s="193"/>
      <c r="D20" s="323">
        <v>1.3</v>
      </c>
      <c r="E20" s="168"/>
      <c r="F20" s="168">
        <v>1</v>
      </c>
      <c r="G20" s="168"/>
      <c r="H20" s="168"/>
      <c r="I20" s="323">
        <f t="shared" si="0"/>
        <v>1.3</v>
      </c>
    </row>
    <row r="21" spans="1:14" ht="28.8" x14ac:dyDescent="0.3">
      <c r="A21" s="168">
        <v>80</v>
      </c>
      <c r="B21" s="180" t="s">
        <v>609</v>
      </c>
      <c r="C21" s="193" t="s">
        <v>2692</v>
      </c>
      <c r="D21" s="323">
        <v>0.04</v>
      </c>
      <c r="E21" s="168" t="s">
        <v>610</v>
      </c>
      <c r="F21" s="168">
        <v>3.5</v>
      </c>
      <c r="G21" s="184" t="s">
        <v>598</v>
      </c>
      <c r="H21" s="168">
        <v>3</v>
      </c>
      <c r="I21" s="323">
        <f t="shared" si="0"/>
        <v>0.42000000000000004</v>
      </c>
    </row>
    <row r="22" spans="1:14" ht="28.8" x14ac:dyDescent="0.3">
      <c r="A22" s="168">
        <v>90</v>
      </c>
      <c r="B22" s="180" t="s">
        <v>589</v>
      </c>
      <c r="C22" s="193"/>
      <c r="D22" s="323">
        <v>1.3</v>
      </c>
      <c r="E22" s="168"/>
      <c r="F22" s="168">
        <v>1</v>
      </c>
      <c r="G22" s="168"/>
      <c r="H22" s="168"/>
      <c r="I22" s="323">
        <f t="shared" si="0"/>
        <v>1.3</v>
      </c>
    </row>
    <row r="23" spans="1:14" ht="28.8" x14ac:dyDescent="0.3">
      <c r="A23" s="168">
        <v>100</v>
      </c>
      <c r="B23" s="180" t="s">
        <v>609</v>
      </c>
      <c r="C23" s="193" t="s">
        <v>2693</v>
      </c>
      <c r="D23" s="323">
        <v>0.04</v>
      </c>
      <c r="E23" s="168" t="s">
        <v>610</v>
      </c>
      <c r="F23" s="168">
        <v>3.5</v>
      </c>
      <c r="G23" s="184" t="s">
        <v>598</v>
      </c>
      <c r="H23" s="168">
        <v>3</v>
      </c>
      <c r="I23" s="323">
        <f t="shared" si="0"/>
        <v>0.42000000000000004</v>
      </c>
    </row>
    <row r="24" spans="1:14" ht="28.8" x14ac:dyDescent="0.3">
      <c r="A24" s="168">
        <v>110</v>
      </c>
      <c r="B24" s="180" t="s">
        <v>589</v>
      </c>
      <c r="C24" s="193"/>
      <c r="D24" s="323">
        <v>1.3</v>
      </c>
      <c r="E24" s="168"/>
      <c r="F24" s="168">
        <v>1</v>
      </c>
      <c r="G24" s="168"/>
      <c r="H24" s="168"/>
      <c r="I24" s="323">
        <f t="shared" si="0"/>
        <v>1.3</v>
      </c>
    </row>
    <row r="25" spans="1:14" ht="28.8" x14ac:dyDescent="0.3">
      <c r="A25" s="168">
        <v>120</v>
      </c>
      <c r="B25" s="180" t="s">
        <v>791</v>
      </c>
      <c r="C25" s="193" t="s">
        <v>2698</v>
      </c>
      <c r="D25" s="323">
        <v>0.35</v>
      </c>
      <c r="E25" s="168" t="s">
        <v>843</v>
      </c>
      <c r="F25" s="168">
        <v>2</v>
      </c>
      <c r="G25" s="168"/>
      <c r="H25" s="168"/>
      <c r="I25" s="323">
        <f t="shared" si="0"/>
        <v>0.7</v>
      </c>
    </row>
    <row r="26" spans="1:14" ht="28.8" x14ac:dyDescent="0.3">
      <c r="A26" s="168">
        <v>130</v>
      </c>
      <c r="B26" s="180" t="s">
        <v>862</v>
      </c>
      <c r="C26" s="171"/>
      <c r="D26" s="323">
        <v>0.1</v>
      </c>
      <c r="E26" s="168" t="s">
        <v>593</v>
      </c>
      <c r="F26" s="168">
        <v>1</v>
      </c>
      <c r="G26" s="168"/>
      <c r="H26" s="168"/>
      <c r="I26" s="323">
        <f t="shared" si="0"/>
        <v>0.1</v>
      </c>
    </row>
    <row r="27" spans="1:14" x14ac:dyDescent="0.3">
      <c r="A27" s="178"/>
      <c r="B27" s="178"/>
      <c r="C27" s="178"/>
      <c r="D27" s="178"/>
      <c r="E27" s="178"/>
      <c r="F27" s="178"/>
      <c r="G27" s="178"/>
      <c r="H27" s="840" t="s">
        <v>547</v>
      </c>
      <c r="I27" s="841">
        <f>SUM(I14:I26)</f>
        <v>14.190000000000001</v>
      </c>
    </row>
    <row r="28" spans="1:14" s="178" customFormat="1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  <c r="L28" s="161"/>
      <c r="M28" s="161"/>
      <c r="N28" s="161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1" spans="1:14" x14ac:dyDescent="0.3">
      <c r="J31" s="178"/>
    </row>
    <row r="32" spans="1:14" x14ac:dyDescent="0.3">
      <c r="K32" s="178"/>
      <c r="L32" s="178"/>
      <c r="M32" s="178"/>
      <c r="N32" s="178"/>
    </row>
    <row r="34" spans="1:14" x14ac:dyDescent="0.3">
      <c r="K34" s="178"/>
      <c r="L34" s="178"/>
      <c r="M34" s="178"/>
      <c r="N34" s="178"/>
    </row>
    <row r="39" spans="1:14" s="178" customFormat="1" x14ac:dyDescent="0.3">
      <c r="A39" s="161"/>
      <c r="B39" s="161"/>
      <c r="C39" s="161"/>
      <c r="D39" s="161"/>
      <c r="E39" s="161"/>
      <c r="F39" s="161"/>
      <c r="G39" s="161"/>
      <c r="H39" s="161"/>
      <c r="I39" s="161"/>
      <c r="J39" s="161"/>
      <c r="K39" s="161"/>
      <c r="L39" s="161"/>
      <c r="M39" s="161"/>
      <c r="N39" s="161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43" spans="1:14" x14ac:dyDescent="0.3">
      <c r="K43" s="178"/>
      <c r="L43" s="178"/>
      <c r="M43" s="178"/>
      <c r="N43" s="178"/>
    </row>
    <row r="45" spans="1:14" x14ac:dyDescent="0.3">
      <c r="K45" s="178"/>
      <c r="L45" s="178"/>
      <c r="M45" s="178"/>
      <c r="N45" s="178"/>
    </row>
    <row r="48" spans="1:14" x14ac:dyDescent="0.3">
      <c r="K48" s="178"/>
      <c r="L48" s="178"/>
      <c r="M48" s="178"/>
      <c r="N48" s="178"/>
    </row>
    <row r="50" spans="1:14" s="178" customFormat="1" x14ac:dyDescent="0.3">
      <c r="A50" s="161"/>
      <c r="B50" s="161"/>
      <c r="C50" s="161"/>
      <c r="D50" s="161"/>
      <c r="E50" s="161"/>
      <c r="F50" s="161"/>
      <c r="G50" s="161"/>
      <c r="H50" s="161"/>
      <c r="I50" s="161"/>
      <c r="J50" s="161"/>
      <c r="K50" s="161"/>
      <c r="L50" s="161"/>
      <c r="M50" s="161"/>
      <c r="N50" s="161"/>
    </row>
    <row r="52" spans="1:14" s="178" customFormat="1" x14ac:dyDescent="0.3">
      <c r="A52" s="161"/>
      <c r="B52" s="161"/>
      <c r="C52" s="161"/>
      <c r="D52" s="161"/>
      <c r="E52" s="161"/>
      <c r="F52" s="161"/>
      <c r="G52" s="161"/>
      <c r="H52" s="161"/>
      <c r="I52" s="161"/>
      <c r="J52" s="161"/>
      <c r="K52" s="161"/>
      <c r="L52" s="161"/>
      <c r="M52" s="161"/>
      <c r="N52" s="161"/>
    </row>
    <row r="55" spans="1:14" s="178" customFormat="1" x14ac:dyDescent="0.3">
      <c r="A55" s="161"/>
      <c r="B55" s="161"/>
      <c r="C55" s="161"/>
      <c r="D55" s="161"/>
      <c r="E55" s="161"/>
      <c r="F55" s="161"/>
      <c r="G55" s="161"/>
      <c r="H55" s="161"/>
      <c r="I55" s="161"/>
      <c r="J55" s="161"/>
      <c r="K55" s="161"/>
      <c r="L55" s="161"/>
      <c r="M55" s="161"/>
      <c r="N55" s="161"/>
    </row>
  </sheetData>
  <hyperlinks>
    <hyperlink ref="D2" location="'Rear suspension insert drawing'!A1" display="FileLink1"/>
  </hyperlinks>
  <pageMargins left="0.7" right="0.7" top="0.75" bottom="0.75" header="0.3" footer="0.3"/>
  <pageSetup paperSize="9" scale="63" orientation="landscape" r:id="rId1"/>
</worksheet>
</file>

<file path=xl/worksheets/sheet3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21875" style="161" customWidth="1"/>
    <col min="6" max="6" width="12" style="161" bestFit="1" customWidth="1"/>
    <col min="7" max="7" width="19.1093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88671875" style="16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0.19698183107117939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8</v>
      </c>
    </row>
    <row r="3" spans="1:14" x14ac:dyDescent="0.3">
      <c r="A3" s="837" t="s">
        <v>534</v>
      </c>
      <c r="B3" s="161" t="s">
        <v>431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78</v>
      </c>
      <c r="D4" s="837" t="s">
        <v>541</v>
      </c>
      <c r="J4" s="837" t="s">
        <v>538</v>
      </c>
      <c r="M4" s="837" t="s">
        <v>539</v>
      </c>
      <c r="N4" s="336">
        <f>N1*N2</f>
        <v>1.5758546485694351</v>
      </c>
    </row>
    <row r="5" spans="1:14" x14ac:dyDescent="0.3">
      <c r="A5" s="837" t="s">
        <v>537</v>
      </c>
      <c r="B5" s="199" t="s">
        <v>437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720</v>
      </c>
      <c r="C10" s="183" t="s">
        <v>607</v>
      </c>
      <c r="D10" s="241">
        <v>4.2</v>
      </c>
      <c r="E10" s="183">
        <v>1.7999999999999999E-2</v>
      </c>
      <c r="F10" s="183" t="s">
        <v>644</v>
      </c>
      <c r="G10" s="183"/>
      <c r="H10" s="204"/>
      <c r="I10" s="269" t="s">
        <v>2677</v>
      </c>
      <c r="J10" s="206">
        <f>(PI()*E10*E10)/4</f>
        <v>2.5446900494077322E-4</v>
      </c>
      <c r="K10" s="207">
        <v>5.0000000000000001E-3</v>
      </c>
      <c r="L10" s="204">
        <v>2710</v>
      </c>
      <c r="M10" s="183">
        <v>1</v>
      </c>
      <c r="N10" s="385">
        <f>IF(J10="",D10*M10,D10*J10*K10*L10*M10)</f>
        <v>1.4481831071179405E-2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1.4481831071179405E-2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2937</v>
      </c>
      <c r="H14" s="184">
        <f>1/8</f>
        <v>0.125</v>
      </c>
      <c r="I14" s="323">
        <f>IF($H14&lt;&gt;"",$D14*$F14*$H14,$D14*$F14)</f>
        <v>0.16250000000000001</v>
      </c>
    </row>
    <row r="15" spans="1:14" x14ac:dyDescent="0.3">
      <c r="A15" s="168">
        <v>20</v>
      </c>
      <c r="B15" s="180" t="s">
        <v>609</v>
      </c>
      <c r="C15" s="171"/>
      <c r="D15" s="323">
        <v>0.04</v>
      </c>
      <c r="E15" s="168" t="s">
        <v>610</v>
      </c>
      <c r="F15" s="168">
        <v>0.5</v>
      </c>
      <c r="G15" s="184" t="s">
        <v>710</v>
      </c>
      <c r="H15" s="168">
        <v>1</v>
      </c>
      <c r="I15" s="323">
        <f>IF($H15&lt;&gt;"",$D15*$F15*$H15,$D15*$F15)</f>
        <v>0.02</v>
      </c>
    </row>
    <row r="16" spans="1:14" s="178" customFormat="1" x14ac:dyDescent="0.3">
      <c r="H16" s="840" t="s">
        <v>547</v>
      </c>
      <c r="I16" s="841">
        <f>SUM(I14:I15)</f>
        <v>0.1825</v>
      </c>
      <c r="J16" s="161"/>
      <c r="K16" s="161"/>
      <c r="L16" s="161"/>
      <c r="M16" s="161"/>
      <c r="N16" s="161"/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19" spans="1:14" x14ac:dyDescent="0.3">
      <c r="J19" s="178"/>
    </row>
    <row r="20" spans="1:14" x14ac:dyDescent="0.3">
      <c r="K20" s="178"/>
      <c r="L20" s="178"/>
      <c r="M20" s="178"/>
      <c r="N20" s="178"/>
    </row>
    <row r="22" spans="1:14" x14ac:dyDescent="0.3">
      <c r="K22" s="178"/>
      <c r="L22" s="178"/>
      <c r="M22" s="178"/>
      <c r="N22" s="178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x14ac:dyDescent="0.3">
      <c r="K31" s="178"/>
      <c r="L31" s="178"/>
      <c r="M31" s="178"/>
      <c r="N31" s="178"/>
    </row>
    <row r="33" spans="1:14" x14ac:dyDescent="0.3">
      <c r="K33" s="178"/>
      <c r="L33" s="178"/>
      <c r="M33" s="178"/>
      <c r="N33" s="178"/>
    </row>
    <row r="36" spans="1:14" x14ac:dyDescent="0.3">
      <c r="K36" s="178"/>
      <c r="L36" s="178"/>
      <c r="M36" s="178"/>
      <c r="N36" s="178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</sheetData>
  <pageMargins left="0.7" right="0.7" top="0.75" bottom="0.75" header="0.3" footer="0.3"/>
  <pageSetup paperSize="9" scale="66" orientation="landscape" r:id="rId1"/>
</worksheet>
</file>

<file path=xl/worksheets/sheet3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N65"/>
  <sheetViews>
    <sheetView showGridLines="0" workbookViewId="0"/>
  </sheetViews>
  <sheetFormatPr defaultColWidth="9.109375" defaultRowHeight="14.4" x14ac:dyDescent="0.3"/>
  <cols>
    <col min="1" max="1" width="14.77734375" style="248" customWidth="1"/>
    <col min="2" max="2" width="28.33203125" style="248" customWidth="1"/>
    <col min="3" max="3" width="30.33203125" style="248" customWidth="1"/>
    <col min="4" max="4" width="12.88671875" style="248" customWidth="1"/>
    <col min="5" max="5" width="15.77734375" style="248" customWidth="1"/>
    <col min="6" max="6" width="15.21875" style="248" customWidth="1"/>
    <col min="7" max="7" width="10.44140625" style="248" bestFit="1" customWidth="1"/>
    <col min="8" max="8" width="15.88671875" style="248" customWidth="1"/>
    <col min="9" max="9" width="20.33203125" style="248" customWidth="1"/>
    <col min="10" max="10" width="14.77734375" style="248" customWidth="1"/>
    <col min="11" max="12" width="9.33203125" style="248" customWidth="1"/>
    <col min="13" max="13" width="14.33203125" style="248" customWidth="1"/>
    <col min="14" max="14" width="11.6640625" style="248" customWidth="1"/>
    <col min="15" max="16384" width="9.109375" style="248"/>
  </cols>
  <sheetData>
    <row r="1" spans="1:14" x14ac:dyDescent="0.3">
      <c r="A1" s="853" t="s">
        <v>523</v>
      </c>
      <c r="B1" s="248" t="s">
        <v>524</v>
      </c>
      <c r="J1" s="853" t="s">
        <v>528</v>
      </c>
      <c r="K1" s="250">
        <v>81</v>
      </c>
      <c r="M1" s="853" t="s">
        <v>531</v>
      </c>
      <c r="N1" s="364">
        <f>E17+N26+I52+J61+I65</f>
        <v>154.1617473217901</v>
      </c>
    </row>
    <row r="2" spans="1:14" x14ac:dyDescent="0.3">
      <c r="A2" s="853" t="s">
        <v>532</v>
      </c>
      <c r="B2" s="248" t="s">
        <v>411</v>
      </c>
      <c r="M2" s="853" t="s">
        <v>533</v>
      </c>
      <c r="N2" s="296">
        <v>2</v>
      </c>
    </row>
    <row r="3" spans="1:14" x14ac:dyDescent="0.3">
      <c r="A3" s="853" t="s">
        <v>534</v>
      </c>
      <c r="B3" s="248" t="s">
        <v>439</v>
      </c>
      <c r="J3" s="853" t="s">
        <v>536</v>
      </c>
    </row>
    <row r="4" spans="1:14" x14ac:dyDescent="0.3">
      <c r="A4" s="853" t="s">
        <v>537</v>
      </c>
      <c r="B4" s="319" t="s">
        <v>438</v>
      </c>
      <c r="J4" s="853" t="s">
        <v>538</v>
      </c>
      <c r="M4" s="853" t="s">
        <v>539</v>
      </c>
      <c r="N4" s="364">
        <f>N1*N2</f>
        <v>308.3234946435802</v>
      </c>
    </row>
    <row r="5" spans="1:14" x14ac:dyDescent="0.3">
      <c r="A5" s="853" t="s">
        <v>540</v>
      </c>
      <c r="B5" s="248" t="s">
        <v>36</v>
      </c>
      <c r="J5" s="853" t="s">
        <v>541</v>
      </c>
    </row>
    <row r="6" spans="1:14" x14ac:dyDescent="0.3">
      <c r="A6" s="853" t="s">
        <v>542</v>
      </c>
      <c r="B6" s="248" t="s">
        <v>2639</v>
      </c>
    </row>
    <row r="8" spans="1:14" x14ac:dyDescent="0.3">
      <c r="A8" s="854" t="s">
        <v>544</v>
      </c>
      <c r="B8" s="854" t="s">
        <v>545</v>
      </c>
      <c r="C8" s="854" t="s">
        <v>546</v>
      </c>
      <c r="D8" s="854" t="s">
        <v>28</v>
      </c>
      <c r="E8" s="854" t="s">
        <v>547</v>
      </c>
    </row>
    <row r="9" spans="1:14" x14ac:dyDescent="0.3">
      <c r="A9" s="184">
        <v>10</v>
      </c>
      <c r="B9" s="161" t="s">
        <v>2708</v>
      </c>
      <c r="C9" s="362">
        <f>'SU 04001'!$N$1</f>
        <v>8.7889846399999989</v>
      </c>
      <c r="D9" s="184">
        <v>1</v>
      </c>
      <c r="E9" s="363">
        <f t="shared" ref="E9:E16" si="0">C9*D9</f>
        <v>8.7889846399999989</v>
      </c>
    </row>
    <row r="10" spans="1:14" x14ac:dyDescent="0.3">
      <c r="A10" s="184">
        <v>20</v>
      </c>
      <c r="B10" s="184" t="s">
        <v>2709</v>
      </c>
      <c r="C10" s="362">
        <f>'SU 04002'!N1</f>
        <v>11.141974400000001</v>
      </c>
      <c r="D10" s="184">
        <v>1</v>
      </c>
      <c r="E10" s="363">
        <f t="shared" si="0"/>
        <v>11.141974400000001</v>
      </c>
    </row>
    <row r="11" spans="1:14" x14ac:dyDescent="0.3">
      <c r="A11" s="184">
        <v>30</v>
      </c>
      <c r="B11" s="184" t="s">
        <v>417</v>
      </c>
      <c r="C11" s="362">
        <f>'SU 04003'!N1</f>
        <v>3.1523818481530936</v>
      </c>
      <c r="D11" s="184">
        <v>2</v>
      </c>
      <c r="E11" s="363">
        <f t="shared" si="0"/>
        <v>6.3047636963061873</v>
      </c>
    </row>
    <row r="12" spans="1:14" x14ac:dyDescent="0.3">
      <c r="A12" s="184">
        <v>40</v>
      </c>
      <c r="B12" s="184" t="s">
        <v>419</v>
      </c>
      <c r="C12" s="362">
        <f>'SU 04004'!N1</f>
        <v>4.3912299199999998</v>
      </c>
      <c r="D12" s="184">
        <v>2</v>
      </c>
      <c r="E12" s="363">
        <f t="shared" si="0"/>
        <v>8.7824598399999996</v>
      </c>
    </row>
    <row r="13" spans="1:14" x14ac:dyDescent="0.3">
      <c r="A13" s="184">
        <v>50</v>
      </c>
      <c r="B13" s="184" t="s">
        <v>2710</v>
      </c>
      <c r="C13" s="362">
        <f>'SU 04005'!N1</f>
        <v>36.27448892000001</v>
      </c>
      <c r="D13" s="184">
        <v>1</v>
      </c>
      <c r="E13" s="363">
        <f t="shared" si="0"/>
        <v>36.27448892000001</v>
      </c>
    </row>
    <row r="14" spans="1:14" x14ac:dyDescent="0.3">
      <c r="A14" s="184">
        <v>70</v>
      </c>
      <c r="B14" s="184" t="s">
        <v>2711</v>
      </c>
      <c r="C14" s="362">
        <f>'SU 04006'!N1</f>
        <v>3.1523818481530936</v>
      </c>
      <c r="D14" s="184">
        <v>1</v>
      </c>
      <c r="E14" s="363">
        <f t="shared" si="0"/>
        <v>3.1523818481530936</v>
      </c>
    </row>
    <row r="15" spans="1:14" x14ac:dyDescent="0.3">
      <c r="A15" s="184">
        <v>80</v>
      </c>
      <c r="B15" s="184" t="s">
        <v>2712</v>
      </c>
      <c r="C15" s="362">
        <f>'SU 04007'!$N$1</f>
        <v>2.4699953806999999</v>
      </c>
      <c r="D15" s="184">
        <v>1</v>
      </c>
      <c r="E15" s="363">
        <f t="shared" si="0"/>
        <v>2.4699953806999999</v>
      </c>
    </row>
    <row r="16" spans="1:14" x14ac:dyDescent="0.3">
      <c r="A16" s="184">
        <v>90</v>
      </c>
      <c r="B16" s="184" t="s">
        <v>78</v>
      </c>
      <c r="C16" s="362">
        <f>'SU 04008'!N1</f>
        <v>0.14281516440451272</v>
      </c>
      <c r="D16" s="184">
        <v>6</v>
      </c>
      <c r="E16" s="363">
        <f t="shared" si="0"/>
        <v>0.8568909864270764</v>
      </c>
    </row>
    <row r="17" spans="1:14" x14ac:dyDescent="0.3">
      <c r="D17" s="855" t="s">
        <v>547</v>
      </c>
      <c r="E17" s="856">
        <f>SUM(E9:E16)</f>
        <v>77.77193971158637</v>
      </c>
    </row>
    <row r="19" spans="1:14" x14ac:dyDescent="0.3">
      <c r="A19" s="854" t="s">
        <v>544</v>
      </c>
      <c r="B19" s="854" t="s">
        <v>581</v>
      </c>
      <c r="C19" s="854" t="s">
        <v>549</v>
      </c>
      <c r="D19" s="854" t="s">
        <v>550</v>
      </c>
      <c r="E19" s="854" t="s">
        <v>567</v>
      </c>
      <c r="F19" s="854" t="s">
        <v>568</v>
      </c>
      <c r="G19" s="854" t="s">
        <v>569</v>
      </c>
      <c r="H19" s="854" t="s">
        <v>570</v>
      </c>
      <c r="I19" s="854" t="s">
        <v>582</v>
      </c>
      <c r="J19" s="854" t="s">
        <v>583</v>
      </c>
      <c r="K19" s="854" t="s">
        <v>584</v>
      </c>
      <c r="L19" s="854" t="s">
        <v>585</v>
      </c>
      <c r="M19" s="854" t="s">
        <v>28</v>
      </c>
      <c r="N19" s="854" t="s">
        <v>547</v>
      </c>
    </row>
    <row r="20" spans="1:14" x14ac:dyDescent="0.3">
      <c r="A20" s="184">
        <v>10</v>
      </c>
      <c r="B20" s="190" t="s">
        <v>2642</v>
      </c>
      <c r="C20" s="184" t="s">
        <v>2643</v>
      </c>
      <c r="D20" s="362">
        <v>2.25</v>
      </c>
      <c r="E20" s="184">
        <v>1.4999999999999999E-2</v>
      </c>
      <c r="F20" s="184" t="s">
        <v>644</v>
      </c>
      <c r="G20" s="184">
        <v>1.2999999999999999E-2</v>
      </c>
      <c r="H20" s="268" t="s">
        <v>644</v>
      </c>
      <c r="I20" s="269" t="s">
        <v>2644</v>
      </c>
      <c r="J20" s="274">
        <f>(E20*E20-G20*G20)*PI()/4</f>
        <v>4.3982297150257112E-5</v>
      </c>
      <c r="K20" s="268">
        <v>0.311</v>
      </c>
      <c r="L20" s="268">
        <v>7860</v>
      </c>
      <c r="M20" s="184">
        <v>1</v>
      </c>
      <c r="N20" s="363">
        <f t="shared" ref="N20:N25" si="1">IF(J20="",D20*M20,D20*J20*K20*L20*M20)</f>
        <v>0.24190417370681438</v>
      </c>
    </row>
    <row r="21" spans="1:14" x14ac:dyDescent="0.3">
      <c r="A21" s="184">
        <v>20</v>
      </c>
      <c r="B21" s="190" t="s">
        <v>2642</v>
      </c>
      <c r="C21" s="184" t="s">
        <v>2645</v>
      </c>
      <c r="D21" s="362">
        <v>2.25</v>
      </c>
      <c r="E21" s="184">
        <v>1.4999999999999999E-2</v>
      </c>
      <c r="F21" s="184" t="s">
        <v>644</v>
      </c>
      <c r="G21" s="184">
        <v>1.2999999999999999E-2</v>
      </c>
      <c r="H21" s="268" t="s">
        <v>644</v>
      </c>
      <c r="I21" s="269" t="s">
        <v>2644</v>
      </c>
      <c r="J21" s="274">
        <f>(E21*E21-G21*G21)*PI()/4</f>
        <v>4.3982297150257112E-5</v>
      </c>
      <c r="K21" s="276">
        <v>0.29599999999999999</v>
      </c>
      <c r="L21" s="268">
        <v>7860</v>
      </c>
      <c r="M21" s="184">
        <v>1</v>
      </c>
      <c r="N21" s="363">
        <f t="shared" si="1"/>
        <v>0.23023676983027991</v>
      </c>
    </row>
    <row r="22" spans="1:14" ht="16.2" customHeight="1" x14ac:dyDescent="0.3">
      <c r="A22" s="184">
        <v>30</v>
      </c>
      <c r="B22" s="190" t="s">
        <v>2646</v>
      </c>
      <c r="C22" s="494" t="s">
        <v>2713</v>
      </c>
      <c r="D22" s="362">
        <v>6.92</v>
      </c>
      <c r="E22" s="184">
        <v>8</v>
      </c>
      <c r="F22" s="184" t="s">
        <v>573</v>
      </c>
      <c r="G22" s="184"/>
      <c r="H22" s="268"/>
      <c r="I22" s="269"/>
      <c r="J22" s="270"/>
      <c r="K22" s="268"/>
      <c r="L22" s="268"/>
      <c r="M22" s="184">
        <v>4</v>
      </c>
      <c r="N22" s="363">
        <f t="shared" si="1"/>
        <v>27.68</v>
      </c>
    </row>
    <row r="23" spans="1:14" ht="27" customHeight="1" x14ac:dyDescent="0.3">
      <c r="A23" s="184">
        <v>40</v>
      </c>
      <c r="B23" s="451" t="s">
        <v>1329</v>
      </c>
      <c r="C23" s="494" t="s">
        <v>2714</v>
      </c>
      <c r="D23" s="362">
        <v>7</v>
      </c>
      <c r="E23" s="184">
        <v>8</v>
      </c>
      <c r="F23" s="184" t="s">
        <v>573</v>
      </c>
      <c r="G23" s="184"/>
      <c r="H23" s="268"/>
      <c r="I23" s="269"/>
      <c r="J23" s="270"/>
      <c r="K23" s="268"/>
      <c r="L23" s="268"/>
      <c r="M23" s="184">
        <v>1</v>
      </c>
      <c r="N23" s="363">
        <f t="shared" si="1"/>
        <v>7</v>
      </c>
    </row>
    <row r="24" spans="1:14" ht="15.6" customHeight="1" x14ac:dyDescent="0.3">
      <c r="A24" s="184">
        <v>50</v>
      </c>
      <c r="B24" s="190" t="s">
        <v>625</v>
      </c>
      <c r="C24" s="494" t="s">
        <v>2648</v>
      </c>
      <c r="D24" s="362">
        <v>10</v>
      </c>
      <c r="E24" s="184">
        <v>0.14000000000000001</v>
      </c>
      <c r="F24" s="184" t="s">
        <v>627</v>
      </c>
      <c r="G24" s="184"/>
      <c r="H24" s="268"/>
      <c r="I24" s="269"/>
      <c r="J24" s="270"/>
      <c r="K24" s="268"/>
      <c r="L24" s="268"/>
      <c r="M24" s="184">
        <v>1</v>
      </c>
      <c r="N24" s="363">
        <f t="shared" si="1"/>
        <v>10</v>
      </c>
    </row>
    <row r="25" spans="1:14" ht="28.2" customHeight="1" x14ac:dyDescent="0.3">
      <c r="A25" s="184">
        <v>60</v>
      </c>
      <c r="B25" s="190" t="s">
        <v>1024</v>
      </c>
      <c r="C25" s="494" t="s">
        <v>2649</v>
      </c>
      <c r="D25" s="362">
        <v>0</v>
      </c>
      <c r="E25" s="184"/>
      <c r="F25" s="184"/>
      <c r="G25" s="184"/>
      <c r="H25" s="268"/>
      <c r="I25" s="269"/>
      <c r="J25" s="270"/>
      <c r="K25" s="268"/>
      <c r="L25" s="268"/>
      <c r="M25" s="184"/>
      <c r="N25" s="363">
        <f t="shared" si="1"/>
        <v>0</v>
      </c>
    </row>
    <row r="26" spans="1:14" ht="16.8" customHeight="1" x14ac:dyDescent="0.3">
      <c r="A26" s="278"/>
      <c r="B26" s="278"/>
      <c r="C26" s="278"/>
      <c r="D26" s="278"/>
      <c r="E26" s="278"/>
      <c r="F26" s="278"/>
      <c r="G26" s="278"/>
      <c r="H26" s="278"/>
      <c r="I26" s="278"/>
      <c r="J26" s="278"/>
      <c r="K26" s="278"/>
      <c r="L26" s="278"/>
      <c r="M26" s="855" t="s">
        <v>547</v>
      </c>
      <c r="N26" s="856">
        <f>SUM(N20:N25)</f>
        <v>45.152140943537091</v>
      </c>
    </row>
    <row r="28" spans="1:14" x14ac:dyDescent="0.3">
      <c r="A28" s="854" t="s">
        <v>544</v>
      </c>
      <c r="B28" s="854" t="s">
        <v>548</v>
      </c>
      <c r="C28" s="854" t="s">
        <v>549</v>
      </c>
      <c r="D28" s="854" t="s">
        <v>550</v>
      </c>
      <c r="E28" s="854" t="s">
        <v>551</v>
      </c>
      <c r="F28" s="854" t="s">
        <v>28</v>
      </c>
      <c r="G28" s="854" t="s">
        <v>552</v>
      </c>
      <c r="H28" s="854" t="s">
        <v>553</v>
      </c>
      <c r="I28" s="854" t="s">
        <v>547</v>
      </c>
      <c r="J28" s="278"/>
      <c r="K28" s="278"/>
      <c r="L28" s="278"/>
      <c r="M28" s="278"/>
      <c r="N28" s="278"/>
    </row>
    <row r="29" spans="1:14" x14ac:dyDescent="0.3">
      <c r="A29" s="184">
        <v>10</v>
      </c>
      <c r="B29" s="180" t="s">
        <v>650</v>
      </c>
      <c r="C29" s="184" t="s">
        <v>1732</v>
      </c>
      <c r="D29" s="184">
        <v>0.15</v>
      </c>
      <c r="E29" s="184" t="s">
        <v>593</v>
      </c>
      <c r="F29" s="184">
        <f>56/2</f>
        <v>28</v>
      </c>
      <c r="G29" s="184"/>
      <c r="H29" s="184">
        <v>1</v>
      </c>
      <c r="I29" s="362">
        <f>D29*F29*H29</f>
        <v>4.2</v>
      </c>
    </row>
    <row r="30" spans="1:14" x14ac:dyDescent="0.3">
      <c r="A30" s="184">
        <v>20</v>
      </c>
      <c r="B30" s="180" t="s">
        <v>653</v>
      </c>
      <c r="C30" s="193" t="s">
        <v>1731</v>
      </c>
      <c r="D30" s="362">
        <v>5.25</v>
      </c>
      <c r="E30" s="184" t="s">
        <v>627</v>
      </c>
      <c r="F30" s="184">
        <f>0.028/2</f>
        <v>1.4E-2</v>
      </c>
      <c r="G30" s="184"/>
      <c r="H30" s="184">
        <v>1</v>
      </c>
      <c r="I30" s="362">
        <f t="shared" ref="I30:I51" si="2">D30*F30*H30</f>
        <v>7.3499999999999996E-2</v>
      </c>
    </row>
    <row r="31" spans="1:14" ht="28.8" x14ac:dyDescent="0.3">
      <c r="A31" s="184">
        <v>30</v>
      </c>
      <c r="B31" s="180" t="s">
        <v>650</v>
      </c>
      <c r="C31" s="193" t="s">
        <v>2715</v>
      </c>
      <c r="D31" s="362">
        <v>0.15</v>
      </c>
      <c r="E31" s="184" t="s">
        <v>593</v>
      </c>
      <c r="F31" s="184">
        <v>5</v>
      </c>
      <c r="G31" s="184"/>
      <c r="H31" s="184">
        <v>1</v>
      </c>
      <c r="I31" s="362">
        <f t="shared" si="2"/>
        <v>0.75</v>
      </c>
    </row>
    <row r="32" spans="1:14" x14ac:dyDescent="0.3">
      <c r="A32" s="184">
        <v>40</v>
      </c>
      <c r="B32" s="180" t="s">
        <v>2652</v>
      </c>
      <c r="C32" s="184" t="s">
        <v>2716</v>
      </c>
      <c r="D32" s="362">
        <v>0.15</v>
      </c>
      <c r="E32" s="184" t="s">
        <v>593</v>
      </c>
      <c r="F32" s="184">
        <v>1.5</v>
      </c>
      <c r="G32" s="184" t="s">
        <v>2155</v>
      </c>
      <c r="H32" s="184">
        <v>2</v>
      </c>
      <c r="I32" s="362">
        <f>D32*F32*H32</f>
        <v>0.44999999999999996</v>
      </c>
    </row>
    <row r="33" spans="1:14" x14ac:dyDescent="0.3">
      <c r="A33" s="184">
        <v>50</v>
      </c>
      <c r="B33" s="180" t="s">
        <v>2652</v>
      </c>
      <c r="C33" s="184" t="s">
        <v>2717</v>
      </c>
      <c r="D33" s="362">
        <v>0.15</v>
      </c>
      <c r="E33" s="184" t="s">
        <v>593</v>
      </c>
      <c r="F33" s="184">
        <v>1.5</v>
      </c>
      <c r="G33" s="184"/>
      <c r="H33" s="184"/>
      <c r="I33" s="362">
        <f>D33*F33</f>
        <v>0.22499999999999998</v>
      </c>
    </row>
    <row r="34" spans="1:14" ht="28.8" x14ac:dyDescent="0.3">
      <c r="A34" s="184">
        <v>60</v>
      </c>
      <c r="B34" s="180" t="s">
        <v>650</v>
      </c>
      <c r="C34" s="193" t="s">
        <v>2718</v>
      </c>
      <c r="D34" s="362">
        <v>0.15</v>
      </c>
      <c r="E34" s="184" t="s">
        <v>593</v>
      </c>
      <c r="F34" s="184">
        <v>20</v>
      </c>
      <c r="G34" s="184"/>
      <c r="H34" s="184">
        <v>1</v>
      </c>
      <c r="I34" s="362">
        <f t="shared" si="2"/>
        <v>3</v>
      </c>
    </row>
    <row r="35" spans="1:14" ht="28.8" x14ac:dyDescent="0.3">
      <c r="A35" s="184">
        <v>70</v>
      </c>
      <c r="B35" s="180" t="s">
        <v>650</v>
      </c>
      <c r="C35" s="193" t="s">
        <v>2681</v>
      </c>
      <c r="D35" s="362">
        <v>0.15</v>
      </c>
      <c r="E35" s="184" t="s">
        <v>593</v>
      </c>
      <c r="F35" s="184">
        <v>10</v>
      </c>
      <c r="G35" s="184"/>
      <c r="H35" s="184">
        <v>1</v>
      </c>
      <c r="I35" s="362">
        <f t="shared" si="2"/>
        <v>1.5</v>
      </c>
    </row>
    <row r="36" spans="1:14" x14ac:dyDescent="0.3">
      <c r="A36" s="184">
        <v>80</v>
      </c>
      <c r="B36" s="180" t="s">
        <v>2654</v>
      </c>
      <c r="C36" s="193" t="s">
        <v>2682</v>
      </c>
      <c r="D36" s="362">
        <v>0.02</v>
      </c>
      <c r="E36" s="184" t="s">
        <v>852</v>
      </c>
      <c r="F36" s="184">
        <v>25</v>
      </c>
      <c r="G36" s="184"/>
      <c r="H36" s="184">
        <v>1</v>
      </c>
      <c r="I36" s="362">
        <f t="shared" si="2"/>
        <v>0.5</v>
      </c>
    </row>
    <row r="37" spans="1:14" ht="28.8" x14ac:dyDescent="0.3">
      <c r="A37" s="184">
        <v>90</v>
      </c>
      <c r="B37" s="180" t="s">
        <v>2656</v>
      </c>
      <c r="C37" s="193" t="s">
        <v>2702</v>
      </c>
      <c r="D37" s="362">
        <v>0.19</v>
      </c>
      <c r="E37" s="184"/>
      <c r="F37" s="184">
        <v>4</v>
      </c>
      <c r="G37" s="184"/>
      <c r="H37" s="184">
        <v>1</v>
      </c>
      <c r="I37" s="362">
        <f t="shared" si="2"/>
        <v>0.76</v>
      </c>
    </row>
    <row r="38" spans="1:14" x14ac:dyDescent="0.3">
      <c r="A38" s="184">
        <v>100</v>
      </c>
      <c r="B38" s="180" t="s">
        <v>2684</v>
      </c>
      <c r="C38" s="193" t="s">
        <v>2685</v>
      </c>
      <c r="D38" s="362">
        <v>0.5</v>
      </c>
      <c r="E38" s="184"/>
      <c r="F38" s="184">
        <v>2</v>
      </c>
      <c r="G38" s="184"/>
      <c r="H38" s="184">
        <v>1</v>
      </c>
      <c r="I38" s="362">
        <f t="shared" si="2"/>
        <v>1</v>
      </c>
    </row>
    <row r="39" spans="1:14" x14ac:dyDescent="0.3">
      <c r="A39" s="184">
        <v>110</v>
      </c>
      <c r="B39" s="180" t="s">
        <v>2684</v>
      </c>
      <c r="C39" s="193" t="s">
        <v>2686</v>
      </c>
      <c r="D39" s="362">
        <v>0.5</v>
      </c>
      <c r="E39" s="184"/>
      <c r="F39" s="184">
        <v>6</v>
      </c>
      <c r="G39" s="184"/>
      <c r="H39" s="184">
        <v>1</v>
      </c>
      <c r="I39" s="362">
        <f t="shared" si="2"/>
        <v>3</v>
      </c>
    </row>
    <row r="40" spans="1:14" x14ac:dyDescent="0.3">
      <c r="A40" s="184">
        <v>120</v>
      </c>
      <c r="B40" s="180" t="s">
        <v>653</v>
      </c>
      <c r="C40" s="193" t="s">
        <v>2658</v>
      </c>
      <c r="D40" s="362">
        <v>5.25</v>
      </c>
      <c r="E40" s="184" t="s">
        <v>627</v>
      </c>
      <c r="F40" s="184">
        <v>0.09</v>
      </c>
      <c r="G40" s="184"/>
      <c r="H40" s="184">
        <v>1</v>
      </c>
      <c r="I40" s="362">
        <f t="shared" si="2"/>
        <v>0.47249999999999998</v>
      </c>
    </row>
    <row r="41" spans="1:14" x14ac:dyDescent="0.3">
      <c r="A41" s="184">
        <v>130</v>
      </c>
      <c r="B41" s="180" t="s">
        <v>1912</v>
      </c>
      <c r="C41" s="193" t="s">
        <v>2719</v>
      </c>
      <c r="D41" s="362">
        <v>0.13</v>
      </c>
      <c r="E41" s="184"/>
      <c r="F41" s="184">
        <v>1</v>
      </c>
      <c r="G41" s="184"/>
      <c r="H41" s="184">
        <v>1</v>
      </c>
      <c r="I41" s="362">
        <f t="shared" si="2"/>
        <v>0.13</v>
      </c>
    </row>
    <row r="42" spans="1:14" x14ac:dyDescent="0.3">
      <c r="A42" s="184">
        <v>140</v>
      </c>
      <c r="B42" s="180" t="s">
        <v>650</v>
      </c>
      <c r="C42" s="193" t="s">
        <v>2720</v>
      </c>
      <c r="D42" s="362">
        <v>0.15</v>
      </c>
      <c r="E42" s="184" t="s">
        <v>593</v>
      </c>
      <c r="F42" s="184">
        <v>5</v>
      </c>
      <c r="G42" s="184"/>
      <c r="H42" s="184">
        <v>1</v>
      </c>
      <c r="I42" s="362">
        <f t="shared" si="2"/>
        <v>0.75</v>
      </c>
    </row>
    <row r="43" spans="1:14" ht="28.8" x14ac:dyDescent="0.3">
      <c r="A43" s="184">
        <v>150</v>
      </c>
      <c r="B43" s="180" t="s">
        <v>1543</v>
      </c>
      <c r="C43" s="193" t="s">
        <v>2721</v>
      </c>
      <c r="D43" s="362">
        <v>0.5</v>
      </c>
      <c r="E43" s="184"/>
      <c r="F43" s="184">
        <v>1</v>
      </c>
      <c r="G43" s="184"/>
      <c r="H43" s="184">
        <v>1</v>
      </c>
      <c r="I43" s="362">
        <f t="shared" si="2"/>
        <v>0.5</v>
      </c>
    </row>
    <row r="44" spans="1:14" s="278" customFormat="1" ht="28.8" x14ac:dyDescent="0.3">
      <c r="A44" s="184">
        <v>160</v>
      </c>
      <c r="B44" s="180" t="s">
        <v>1004</v>
      </c>
      <c r="C44" s="193" t="s">
        <v>2722</v>
      </c>
      <c r="D44" s="362">
        <v>0.06</v>
      </c>
      <c r="E44" s="184"/>
      <c r="F44" s="184">
        <v>1</v>
      </c>
      <c r="G44" s="184"/>
      <c r="H44" s="184">
        <v>1</v>
      </c>
      <c r="I44" s="362">
        <f t="shared" si="2"/>
        <v>0.06</v>
      </c>
      <c r="J44" s="248"/>
      <c r="K44" s="248"/>
      <c r="L44" s="248"/>
      <c r="M44" s="248"/>
      <c r="N44" s="248"/>
    </row>
    <row r="45" spans="1:14" s="278" customFormat="1" ht="28.8" x14ac:dyDescent="0.3">
      <c r="A45" s="184">
        <v>170</v>
      </c>
      <c r="B45" s="180" t="s">
        <v>1543</v>
      </c>
      <c r="C45" s="193" t="s">
        <v>2723</v>
      </c>
      <c r="D45" s="362">
        <v>0.5</v>
      </c>
      <c r="E45" s="184"/>
      <c r="F45" s="184">
        <v>1</v>
      </c>
      <c r="G45" s="184"/>
      <c r="H45" s="184">
        <v>1</v>
      </c>
      <c r="I45" s="362">
        <f t="shared" si="2"/>
        <v>0.5</v>
      </c>
      <c r="J45" s="248"/>
      <c r="K45" s="248"/>
      <c r="L45" s="248"/>
      <c r="M45" s="248"/>
      <c r="N45" s="248"/>
    </row>
    <row r="46" spans="1:14" s="278" customFormat="1" ht="18.600000000000001" customHeight="1" x14ac:dyDescent="0.3">
      <c r="A46" s="184">
        <v>180</v>
      </c>
      <c r="B46" s="180" t="s">
        <v>674</v>
      </c>
      <c r="C46" s="193" t="s">
        <v>2721</v>
      </c>
      <c r="D46" s="362">
        <v>1.5</v>
      </c>
      <c r="E46" s="184"/>
      <c r="F46" s="184">
        <v>1</v>
      </c>
      <c r="G46" s="184"/>
      <c r="H46" s="184">
        <v>1</v>
      </c>
      <c r="I46" s="362">
        <f t="shared" si="2"/>
        <v>1.5</v>
      </c>
      <c r="J46" s="248"/>
      <c r="K46" s="248"/>
      <c r="L46" s="248"/>
      <c r="M46" s="248"/>
      <c r="N46" s="248"/>
    </row>
    <row r="47" spans="1:14" x14ac:dyDescent="0.3">
      <c r="A47" s="184">
        <v>190</v>
      </c>
      <c r="B47" s="180" t="s">
        <v>2344</v>
      </c>
      <c r="C47" s="193" t="s">
        <v>2659</v>
      </c>
      <c r="D47" s="362">
        <v>0.19</v>
      </c>
      <c r="E47" s="184"/>
      <c r="F47" s="184">
        <v>1</v>
      </c>
      <c r="G47" s="184"/>
      <c r="H47" s="184">
        <v>1</v>
      </c>
      <c r="I47" s="362">
        <f t="shared" si="2"/>
        <v>0.19</v>
      </c>
      <c r="K47" s="278"/>
      <c r="L47" s="278"/>
      <c r="M47" s="278"/>
      <c r="N47" s="278"/>
    </row>
    <row r="48" spans="1:14" x14ac:dyDescent="0.3">
      <c r="A48" s="184">
        <v>200</v>
      </c>
      <c r="B48" s="180" t="s">
        <v>1004</v>
      </c>
      <c r="C48" s="193" t="s">
        <v>2724</v>
      </c>
      <c r="D48" s="362">
        <v>0.06</v>
      </c>
      <c r="E48" s="184"/>
      <c r="F48" s="184">
        <v>1</v>
      </c>
      <c r="G48" s="184"/>
      <c r="H48" s="184">
        <v>1</v>
      </c>
      <c r="I48" s="362">
        <f t="shared" si="2"/>
        <v>0.06</v>
      </c>
    </row>
    <row r="49" spans="1:14" x14ac:dyDescent="0.3">
      <c r="A49" s="184">
        <v>210</v>
      </c>
      <c r="B49" s="180" t="s">
        <v>1912</v>
      </c>
      <c r="C49" s="193" t="s">
        <v>2660</v>
      </c>
      <c r="D49" s="362">
        <v>0.13</v>
      </c>
      <c r="E49" s="184"/>
      <c r="F49" s="184">
        <v>6</v>
      </c>
      <c r="G49" s="184"/>
      <c r="H49" s="184">
        <v>1</v>
      </c>
      <c r="I49" s="362">
        <f t="shared" si="2"/>
        <v>0.78</v>
      </c>
      <c r="K49" s="278"/>
      <c r="L49" s="278"/>
      <c r="M49" s="278"/>
      <c r="N49" s="278"/>
    </row>
    <row r="50" spans="1:14" x14ac:dyDescent="0.3">
      <c r="A50" s="184">
        <v>220</v>
      </c>
      <c r="B50" s="180" t="s">
        <v>2661</v>
      </c>
      <c r="C50" s="193" t="s">
        <v>1851</v>
      </c>
      <c r="D50" s="362">
        <v>1</v>
      </c>
      <c r="E50" s="184"/>
      <c r="F50" s="184">
        <v>3</v>
      </c>
      <c r="G50" s="184"/>
      <c r="H50" s="184">
        <v>1</v>
      </c>
      <c r="I50" s="362">
        <f t="shared" si="2"/>
        <v>3</v>
      </c>
    </row>
    <row r="51" spans="1:14" x14ac:dyDescent="0.3">
      <c r="A51" s="184">
        <v>230</v>
      </c>
      <c r="B51" s="180" t="s">
        <v>2662</v>
      </c>
      <c r="C51" s="193" t="s">
        <v>2663</v>
      </c>
      <c r="D51" s="362">
        <v>0.25</v>
      </c>
      <c r="E51" s="184"/>
      <c r="F51" s="184">
        <v>3</v>
      </c>
      <c r="G51" s="184"/>
      <c r="H51" s="184">
        <v>1</v>
      </c>
      <c r="I51" s="362">
        <f t="shared" si="2"/>
        <v>0.75</v>
      </c>
    </row>
    <row r="52" spans="1:14" x14ac:dyDescent="0.3">
      <c r="A52" s="278"/>
      <c r="B52" s="278"/>
      <c r="C52" s="278"/>
      <c r="D52" s="278"/>
      <c r="E52" s="278"/>
      <c r="F52" s="278"/>
      <c r="G52" s="278"/>
      <c r="H52" s="857" t="s">
        <v>547</v>
      </c>
      <c r="I52" s="856">
        <f>SUM(I29:I51)</f>
        <v>24.151</v>
      </c>
    </row>
    <row r="54" spans="1:14" x14ac:dyDescent="0.3">
      <c r="A54" s="854" t="s">
        <v>544</v>
      </c>
      <c r="B54" s="854" t="s">
        <v>566</v>
      </c>
      <c r="C54" s="854" t="s">
        <v>549</v>
      </c>
      <c r="D54" s="854" t="s">
        <v>550</v>
      </c>
      <c r="E54" s="854" t="s">
        <v>567</v>
      </c>
      <c r="F54" s="854" t="s">
        <v>568</v>
      </c>
      <c r="G54" s="854" t="s">
        <v>569</v>
      </c>
      <c r="H54" s="854" t="s">
        <v>570</v>
      </c>
      <c r="I54" s="854" t="s">
        <v>28</v>
      </c>
      <c r="J54" s="854" t="s">
        <v>547</v>
      </c>
    </row>
    <row r="55" spans="1:14" ht="28.8" x14ac:dyDescent="0.3">
      <c r="A55" s="184">
        <v>10</v>
      </c>
      <c r="B55" s="190" t="s">
        <v>684</v>
      </c>
      <c r="C55" s="184" t="s">
        <v>2687</v>
      </c>
      <c r="D55" s="184">
        <v>0.01</v>
      </c>
      <c r="E55" s="184">
        <v>3</v>
      </c>
      <c r="F55" s="606" t="s">
        <v>573</v>
      </c>
      <c r="G55" s="184">
        <v>5</v>
      </c>
      <c r="H55" s="193" t="s">
        <v>573</v>
      </c>
      <c r="I55" s="607">
        <v>4</v>
      </c>
      <c r="J55" s="362">
        <f t="shared" ref="J55:J60" si="3">D55*I55</f>
        <v>0.04</v>
      </c>
    </row>
    <row r="56" spans="1:14" ht="28.8" x14ac:dyDescent="0.3">
      <c r="A56" s="184">
        <v>20</v>
      </c>
      <c r="B56" s="190" t="s">
        <v>684</v>
      </c>
      <c r="C56" s="184" t="s">
        <v>2688</v>
      </c>
      <c r="D56" s="184">
        <v>0.01</v>
      </c>
      <c r="E56" s="184">
        <v>4</v>
      </c>
      <c r="F56" s="606" t="s">
        <v>573</v>
      </c>
      <c r="G56" s="184">
        <v>4</v>
      </c>
      <c r="H56" s="193" t="s">
        <v>573</v>
      </c>
      <c r="I56" s="607">
        <v>12</v>
      </c>
      <c r="J56" s="362">
        <f t="shared" si="3"/>
        <v>0.12</v>
      </c>
    </row>
    <row r="57" spans="1:14" x14ac:dyDescent="0.3">
      <c r="A57" s="184">
        <v>30</v>
      </c>
      <c r="B57" s="190" t="s">
        <v>1375</v>
      </c>
      <c r="C57" s="184" t="s">
        <v>2664</v>
      </c>
      <c r="D57" s="184">
        <v>0.28999999999999998</v>
      </c>
      <c r="E57" s="184">
        <v>8</v>
      </c>
      <c r="F57" s="606" t="s">
        <v>573</v>
      </c>
      <c r="G57" s="184">
        <v>45</v>
      </c>
      <c r="H57" s="193" t="s">
        <v>573</v>
      </c>
      <c r="I57" s="607">
        <v>6</v>
      </c>
      <c r="J57" s="362">
        <f t="shared" si="3"/>
        <v>1.7399999999999998</v>
      </c>
    </row>
    <row r="58" spans="1:14" x14ac:dyDescent="0.3">
      <c r="A58" s="184">
        <v>40</v>
      </c>
      <c r="B58" s="629" t="s">
        <v>618</v>
      </c>
      <c r="C58" s="184" t="s">
        <v>2665</v>
      </c>
      <c r="D58" s="184">
        <v>0.04</v>
      </c>
      <c r="E58" s="184">
        <v>8</v>
      </c>
      <c r="F58" s="606" t="s">
        <v>573</v>
      </c>
      <c r="G58" s="184"/>
      <c r="H58" s="193"/>
      <c r="I58" s="607">
        <v>6</v>
      </c>
      <c r="J58" s="362">
        <f t="shared" si="3"/>
        <v>0.24</v>
      </c>
    </row>
    <row r="59" spans="1:14" x14ac:dyDescent="0.3">
      <c r="A59" s="184">
        <v>50</v>
      </c>
      <c r="B59" s="629" t="s">
        <v>618</v>
      </c>
      <c r="C59" s="184" t="s">
        <v>2725</v>
      </c>
      <c r="D59" s="184">
        <v>0.04</v>
      </c>
      <c r="E59" s="184">
        <v>8</v>
      </c>
      <c r="F59" s="606" t="s">
        <v>573</v>
      </c>
      <c r="G59" s="184"/>
      <c r="H59" s="193"/>
      <c r="I59" s="607">
        <v>4</v>
      </c>
      <c r="J59" s="362">
        <f t="shared" si="3"/>
        <v>0.16</v>
      </c>
    </row>
    <row r="60" spans="1:14" x14ac:dyDescent="0.3">
      <c r="A60" s="184">
        <v>60</v>
      </c>
      <c r="B60" s="629" t="s">
        <v>574</v>
      </c>
      <c r="C60" s="184" t="s">
        <v>2666</v>
      </c>
      <c r="D60" s="184">
        <v>0.01</v>
      </c>
      <c r="E60" s="184">
        <v>8</v>
      </c>
      <c r="F60" s="606" t="s">
        <v>573</v>
      </c>
      <c r="G60" s="184"/>
      <c r="H60" s="193"/>
      <c r="I60" s="607">
        <v>12</v>
      </c>
      <c r="J60" s="362">
        <f t="shared" si="3"/>
        <v>0.12</v>
      </c>
    </row>
    <row r="61" spans="1:14" x14ac:dyDescent="0.3">
      <c r="A61" s="278"/>
      <c r="B61" s="278"/>
      <c r="C61" s="278"/>
      <c r="D61" s="278"/>
      <c r="E61" s="278"/>
      <c r="F61" s="278"/>
      <c r="G61" s="278"/>
      <c r="H61" s="278"/>
      <c r="I61" s="855" t="s">
        <v>547</v>
      </c>
      <c r="J61" s="856">
        <f>SUM(J55:J60)</f>
        <v>2.42</v>
      </c>
    </row>
    <row r="62" spans="1:14" x14ac:dyDescent="0.3">
      <c r="H62" s="292"/>
      <c r="I62" s="293"/>
    </row>
    <row r="63" spans="1:14" x14ac:dyDescent="0.3">
      <c r="A63" s="854" t="s">
        <v>544</v>
      </c>
      <c r="B63" s="854" t="s">
        <v>6</v>
      </c>
      <c r="C63" s="854" t="s">
        <v>549</v>
      </c>
      <c r="D63" s="854" t="s">
        <v>550</v>
      </c>
      <c r="E63" s="854" t="s">
        <v>551</v>
      </c>
      <c r="F63" s="854" t="s">
        <v>28</v>
      </c>
      <c r="G63" s="854" t="s">
        <v>691</v>
      </c>
      <c r="H63" s="854" t="s">
        <v>736</v>
      </c>
      <c r="I63" s="854" t="s">
        <v>547</v>
      </c>
    </row>
    <row r="64" spans="1:14" x14ac:dyDescent="0.3">
      <c r="A64" s="184">
        <v>10</v>
      </c>
      <c r="B64" s="267" t="s">
        <v>693</v>
      </c>
      <c r="C64" s="184" t="s">
        <v>2667</v>
      </c>
      <c r="D64" s="362">
        <v>500</v>
      </c>
      <c r="E64" s="184" t="s">
        <v>695</v>
      </c>
      <c r="F64" s="184">
        <f>56/2</f>
        <v>28</v>
      </c>
      <c r="G64" s="184">
        <v>3000</v>
      </c>
      <c r="H64" s="184">
        <v>1</v>
      </c>
      <c r="I64" s="363">
        <f>D64*F64/G64*H64</f>
        <v>4.666666666666667</v>
      </c>
    </row>
    <row r="65" spans="1:9" x14ac:dyDescent="0.3">
      <c r="A65" s="278"/>
      <c r="B65" s="278"/>
      <c r="C65" s="278"/>
      <c r="D65" s="278"/>
      <c r="E65" s="278"/>
      <c r="F65" s="278"/>
      <c r="G65" s="278"/>
      <c r="H65" s="857" t="s">
        <v>547</v>
      </c>
      <c r="I65" s="856">
        <f>SUM(I64:I64)</f>
        <v>4.666666666666667</v>
      </c>
    </row>
  </sheetData>
  <pageMargins left="0.7" right="0.7" top="0.75" bottom="0.75" header="0.3" footer="0.3"/>
  <pageSetup paperSize="9" scale="45" orientation="landscape" r:id="rId1"/>
  <rowBreaks count="1" manualBreakCount="1">
    <brk id="47" max="16383" man="1"/>
  </rowBreaks>
  <drawing r:id="rId2"/>
</worksheet>
</file>

<file path=xl/worksheets/sheet3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5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0.88671875" style="161" customWidth="1"/>
    <col min="3" max="3" width="30.3320312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2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N11+I22</f>
        <v>8.7889846399999989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311" t="s">
        <v>439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2708</v>
      </c>
      <c r="D4" s="837" t="s">
        <v>541</v>
      </c>
      <c r="J4" s="837" t="s">
        <v>538</v>
      </c>
      <c r="M4" s="837" t="s">
        <v>539</v>
      </c>
      <c r="N4" s="336">
        <f>N1*N2</f>
        <v>17.577969279999998</v>
      </c>
    </row>
    <row r="5" spans="1:14" x14ac:dyDescent="0.3">
      <c r="A5" s="837" t="s">
        <v>537</v>
      </c>
      <c r="B5" s="199" t="s">
        <v>440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 t="s">
        <v>2668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606</v>
      </c>
      <c r="C10" s="183" t="s">
        <v>607</v>
      </c>
      <c r="D10" s="241">
        <v>2.25</v>
      </c>
      <c r="E10" s="459">
        <v>3.2000000000000001E-2</v>
      </c>
      <c r="F10" s="183" t="s">
        <v>644</v>
      </c>
      <c r="G10" s="183">
        <v>3.9E-2</v>
      </c>
      <c r="H10" s="204" t="s">
        <v>644</v>
      </c>
      <c r="I10" s="269" t="s">
        <v>2726</v>
      </c>
      <c r="J10" s="844">
        <f>E10*G10</f>
        <v>1.248E-3</v>
      </c>
      <c r="K10" s="207">
        <v>2.8000000000000001E-2</v>
      </c>
      <c r="L10" s="204">
        <v>7860</v>
      </c>
      <c r="M10" s="183">
        <v>1</v>
      </c>
      <c r="N10" s="385">
        <f>IF(J10="",D10*M10,D10*J10*K10*L10*M10)</f>
        <v>0.61798463999999997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841">
        <f>SUM(N10:N10)</f>
        <v>0.61798463999999997</v>
      </c>
    </row>
    <row r="12" spans="1:14" x14ac:dyDescent="0.3">
      <c r="H12" s="326"/>
      <c r="I12" s="325"/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L13" s="178"/>
      <c r="M13" s="178"/>
      <c r="N13" s="178"/>
    </row>
    <row r="14" spans="1:14" s="311" customFormat="1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IF($H14&lt;&gt;"",$D14*$F14*$H14,$D14*$F14)</f>
        <v>1.3</v>
      </c>
    </row>
    <row r="15" spans="1:14" s="311" customFormat="1" ht="28.8" x14ac:dyDescent="0.3">
      <c r="A15" s="168">
        <v>20</v>
      </c>
      <c r="B15" s="180" t="s">
        <v>609</v>
      </c>
      <c r="C15" s="184" t="s">
        <v>1769</v>
      </c>
      <c r="D15" s="243">
        <v>0.04</v>
      </c>
      <c r="E15" s="180" t="s">
        <v>610</v>
      </c>
      <c r="F15" s="168">
        <v>13.7</v>
      </c>
      <c r="G15" s="184" t="s">
        <v>598</v>
      </c>
      <c r="H15" s="168">
        <v>3</v>
      </c>
      <c r="I15" s="323">
        <f t="shared" ref="I15:I21" si="0">IF($H15&lt;&gt;"",$D15*$F15*$H15,$D15*$F15)</f>
        <v>1.6439999999999997</v>
      </c>
    </row>
    <row r="16" spans="1:14" s="311" customFormat="1" ht="28.8" x14ac:dyDescent="0.3">
      <c r="A16" s="168">
        <v>30</v>
      </c>
      <c r="B16" s="180" t="s">
        <v>1876</v>
      </c>
      <c r="C16" s="168"/>
      <c r="D16" s="243">
        <v>0.65</v>
      </c>
      <c r="E16" s="180" t="s">
        <v>556</v>
      </c>
      <c r="F16" s="168">
        <v>1</v>
      </c>
      <c r="G16" s="168"/>
      <c r="H16" s="168"/>
      <c r="I16" s="323">
        <f t="shared" si="0"/>
        <v>0.65</v>
      </c>
    </row>
    <row r="17" spans="1:14" s="311" customFormat="1" ht="28.8" x14ac:dyDescent="0.3">
      <c r="A17" s="168">
        <v>40</v>
      </c>
      <c r="B17" s="180" t="s">
        <v>791</v>
      </c>
      <c r="C17" s="193" t="s">
        <v>2670</v>
      </c>
      <c r="D17" s="323">
        <v>0.35</v>
      </c>
      <c r="E17" s="168" t="s">
        <v>843</v>
      </c>
      <c r="F17" s="168">
        <v>1</v>
      </c>
      <c r="G17" s="184" t="s">
        <v>2671</v>
      </c>
      <c r="H17" s="168">
        <v>1.5</v>
      </c>
      <c r="I17" s="323">
        <f t="shared" si="0"/>
        <v>0.52499999999999991</v>
      </c>
    </row>
    <row r="18" spans="1:14" s="311" customFormat="1" ht="28.8" x14ac:dyDescent="0.3">
      <c r="A18" s="168">
        <v>50</v>
      </c>
      <c r="B18" s="180" t="s">
        <v>589</v>
      </c>
      <c r="C18" s="171"/>
      <c r="D18" s="323">
        <v>1.3</v>
      </c>
      <c r="E18" s="168"/>
      <c r="F18" s="168">
        <v>1</v>
      </c>
      <c r="G18" s="168"/>
      <c r="H18" s="168"/>
      <c r="I18" s="323">
        <f t="shared" si="0"/>
        <v>1.3</v>
      </c>
    </row>
    <row r="19" spans="1:14" s="432" customFormat="1" ht="28.8" x14ac:dyDescent="0.3">
      <c r="A19" s="168">
        <v>60</v>
      </c>
      <c r="B19" s="180" t="s">
        <v>609</v>
      </c>
      <c r="C19" s="193" t="s">
        <v>1877</v>
      </c>
      <c r="D19" s="323">
        <v>0.04</v>
      </c>
      <c r="E19" s="168" t="s">
        <v>610</v>
      </c>
      <c r="F19" s="168">
        <v>11.5</v>
      </c>
      <c r="G19" s="184" t="s">
        <v>598</v>
      </c>
      <c r="H19" s="168">
        <v>3</v>
      </c>
      <c r="I19" s="323">
        <f t="shared" si="0"/>
        <v>1.3800000000000001</v>
      </c>
      <c r="J19" s="311"/>
      <c r="K19" s="311"/>
      <c r="L19" s="311"/>
      <c r="M19" s="311"/>
      <c r="N19" s="311"/>
    </row>
    <row r="20" spans="1:14" s="432" customFormat="1" ht="28.8" x14ac:dyDescent="0.3">
      <c r="A20" s="168">
        <v>70</v>
      </c>
      <c r="B20" s="180" t="s">
        <v>589</v>
      </c>
      <c r="C20" s="171"/>
      <c r="D20" s="323">
        <v>1.3</v>
      </c>
      <c r="E20" s="168"/>
      <c r="F20" s="168">
        <v>1</v>
      </c>
      <c r="G20" s="168"/>
      <c r="H20" s="168"/>
      <c r="I20" s="323">
        <f t="shared" si="0"/>
        <v>1.3</v>
      </c>
      <c r="J20" s="311"/>
      <c r="K20" s="311"/>
      <c r="L20" s="311"/>
      <c r="M20" s="311"/>
      <c r="N20" s="311"/>
    </row>
    <row r="21" spans="1:14" s="311" customFormat="1" ht="28.8" x14ac:dyDescent="0.3">
      <c r="A21" s="168">
        <v>80</v>
      </c>
      <c r="B21" s="180" t="s">
        <v>609</v>
      </c>
      <c r="C21" s="193" t="s">
        <v>2727</v>
      </c>
      <c r="D21" s="323">
        <v>0.04</v>
      </c>
      <c r="E21" s="168" t="s">
        <v>610</v>
      </c>
      <c r="F21" s="168">
        <v>0.6</v>
      </c>
      <c r="G21" s="184" t="s">
        <v>598</v>
      </c>
      <c r="H21" s="168">
        <v>3</v>
      </c>
      <c r="I21" s="323">
        <f t="shared" si="0"/>
        <v>7.2000000000000008E-2</v>
      </c>
    </row>
    <row r="22" spans="1:14" s="178" customFormat="1" x14ac:dyDescent="0.3">
      <c r="H22" s="840" t="s">
        <v>547</v>
      </c>
      <c r="I22" s="841">
        <f>SUM(I14:I21)</f>
        <v>8.1709999999999994</v>
      </c>
      <c r="J22" s="161"/>
      <c r="K22" s="161"/>
      <c r="L22" s="161"/>
      <c r="M22" s="161"/>
      <c r="N22" s="161"/>
    </row>
    <row r="23" spans="1:14" x14ac:dyDescent="0.3">
      <c r="D23" s="248"/>
    </row>
    <row r="25" spans="1:14" s="178" customFormat="1" x14ac:dyDescent="0.3">
      <c r="A25" s="161"/>
      <c r="B25" s="161"/>
      <c r="C25" s="161"/>
      <c r="D25" s="161"/>
      <c r="E25" s="161"/>
      <c r="F25" s="161"/>
      <c r="G25" s="161"/>
      <c r="H25" s="161"/>
      <c r="I25" s="161"/>
      <c r="J25" s="161"/>
      <c r="K25" s="161"/>
      <c r="L25" s="161"/>
      <c r="M25" s="161"/>
      <c r="N25" s="161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x14ac:dyDescent="0.3">
      <c r="L29" s="178"/>
      <c r="M29" s="178"/>
      <c r="N29" s="178"/>
    </row>
    <row r="31" spans="1:14" x14ac:dyDescent="0.3">
      <c r="L31" s="178"/>
      <c r="M31" s="178"/>
      <c r="N31" s="178"/>
    </row>
    <row r="34" spans="1:14" x14ac:dyDescent="0.3">
      <c r="L34" s="178"/>
      <c r="M34" s="178"/>
      <c r="N34" s="178"/>
    </row>
    <row r="36" spans="1:14" s="178" customFormat="1" x14ac:dyDescent="0.3">
      <c r="A36" s="161"/>
      <c r="B36" s="161"/>
      <c r="C36" s="161"/>
      <c r="D36" s="161"/>
      <c r="E36" s="161"/>
      <c r="F36" s="161"/>
      <c r="G36" s="161"/>
      <c r="H36" s="161"/>
      <c r="I36" s="161"/>
      <c r="J36" s="161"/>
      <c r="K36" s="161"/>
      <c r="L36" s="161"/>
      <c r="M36" s="161"/>
      <c r="N36" s="161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56" spans="2:7" x14ac:dyDescent="0.3">
      <c r="B56" s="161" t="s">
        <v>1375</v>
      </c>
      <c r="D56" s="161">
        <v>0.28999999999999998</v>
      </c>
      <c r="G56" s="161">
        <v>45</v>
      </c>
    </row>
  </sheetData>
  <pageMargins left="0.7" right="0.7" top="0.75" bottom="0.75" header="0.3" footer="0.3"/>
  <pageSetup paperSize="9" scale="52" orientation="landscape" r:id="rId1"/>
</worksheet>
</file>

<file path=xl/worksheets/sheet3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5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0.88671875" style="161" customWidth="1"/>
    <col min="3" max="3" width="30.3320312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2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N11+I22</f>
        <v>11.141974400000001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439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2709</v>
      </c>
      <c r="D4" s="837" t="s">
        <v>541</v>
      </c>
      <c r="J4" s="837" t="s">
        <v>538</v>
      </c>
      <c r="M4" s="837" t="s">
        <v>539</v>
      </c>
      <c r="N4" s="336">
        <f>N1*N2</f>
        <v>22.283948800000001</v>
      </c>
    </row>
    <row r="5" spans="1:14" x14ac:dyDescent="0.3">
      <c r="A5" s="837" t="s">
        <v>537</v>
      </c>
      <c r="B5" s="199" t="s">
        <v>441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 t="s">
        <v>2668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606</v>
      </c>
      <c r="C10" s="183" t="s">
        <v>607</v>
      </c>
      <c r="D10" s="241">
        <v>2.25</v>
      </c>
      <c r="E10" s="459">
        <v>0.04</v>
      </c>
      <c r="F10" s="183" t="s">
        <v>644</v>
      </c>
      <c r="G10" s="183">
        <v>5.1999999999999998E-2</v>
      </c>
      <c r="H10" s="204" t="s">
        <v>644</v>
      </c>
      <c r="I10" s="269" t="s">
        <v>2728</v>
      </c>
      <c r="J10" s="844">
        <f>E10*G10</f>
        <v>2.0799999999999998E-3</v>
      </c>
      <c r="K10" s="207">
        <v>2.8000000000000001E-2</v>
      </c>
      <c r="L10" s="204">
        <v>7860</v>
      </c>
      <c r="M10" s="168">
        <v>1</v>
      </c>
      <c r="N10" s="385">
        <f>IF(J10="",D10*M10,D10*J10*K10*L10*M10)</f>
        <v>1.0299744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841">
        <f>SUM(N10:N10)</f>
        <v>1.0299744</v>
      </c>
    </row>
    <row r="12" spans="1:14" x14ac:dyDescent="0.3">
      <c r="H12" s="326"/>
      <c r="I12" s="325"/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80" t="s">
        <v>609</v>
      </c>
      <c r="C15" s="184" t="s">
        <v>1769</v>
      </c>
      <c r="D15" s="243">
        <v>0.04</v>
      </c>
      <c r="E15" s="180" t="s">
        <v>610</v>
      </c>
      <c r="F15" s="168">
        <v>8.8000000000000007</v>
      </c>
      <c r="G15" s="184" t="s">
        <v>598</v>
      </c>
      <c r="H15" s="168">
        <v>3</v>
      </c>
      <c r="I15" s="323">
        <f t="shared" ref="I15:I21" si="0">IF($H15&lt;&gt;"",$D15*$F15*$H15,$D15*$F15)</f>
        <v>1.056</v>
      </c>
    </row>
    <row r="16" spans="1:14" ht="28.8" x14ac:dyDescent="0.3">
      <c r="A16" s="168">
        <v>30</v>
      </c>
      <c r="B16" s="180" t="s">
        <v>1876</v>
      </c>
      <c r="C16" s="168"/>
      <c r="D16" s="243">
        <v>0.65</v>
      </c>
      <c r="E16" s="180" t="s">
        <v>556</v>
      </c>
      <c r="F16" s="168">
        <v>1</v>
      </c>
      <c r="G16" s="168"/>
      <c r="H16" s="168"/>
      <c r="I16" s="323">
        <f t="shared" si="0"/>
        <v>0.65</v>
      </c>
    </row>
    <row r="17" spans="1:14" ht="28.8" x14ac:dyDescent="0.3">
      <c r="A17" s="168">
        <v>40</v>
      </c>
      <c r="B17" s="180" t="s">
        <v>791</v>
      </c>
      <c r="C17" s="193" t="s">
        <v>2670</v>
      </c>
      <c r="D17" s="323">
        <v>0.35</v>
      </c>
      <c r="E17" s="168" t="s">
        <v>843</v>
      </c>
      <c r="F17" s="168">
        <v>2</v>
      </c>
      <c r="G17" s="184" t="s">
        <v>2671</v>
      </c>
      <c r="H17" s="168">
        <v>1.5</v>
      </c>
      <c r="I17" s="323">
        <f t="shared" si="0"/>
        <v>1.0499999999999998</v>
      </c>
    </row>
    <row r="18" spans="1:14" ht="28.8" x14ac:dyDescent="0.3">
      <c r="A18" s="168">
        <v>50</v>
      </c>
      <c r="B18" s="180" t="s">
        <v>589</v>
      </c>
      <c r="C18" s="171"/>
      <c r="D18" s="323">
        <v>1.3</v>
      </c>
      <c r="E18" s="168"/>
      <c r="F18" s="168">
        <v>1</v>
      </c>
      <c r="G18" s="168"/>
      <c r="H18" s="168"/>
      <c r="I18" s="323">
        <f t="shared" si="0"/>
        <v>1.3</v>
      </c>
    </row>
    <row r="19" spans="1:14" ht="28.8" x14ac:dyDescent="0.3">
      <c r="A19" s="168">
        <v>60</v>
      </c>
      <c r="B19" s="180" t="s">
        <v>609</v>
      </c>
      <c r="C19" s="193" t="s">
        <v>1877</v>
      </c>
      <c r="D19" s="323">
        <v>0.04</v>
      </c>
      <c r="E19" s="168" t="s">
        <v>610</v>
      </c>
      <c r="F19" s="168">
        <v>27.6</v>
      </c>
      <c r="G19" s="184" t="s">
        <v>598</v>
      </c>
      <c r="H19" s="168">
        <v>3</v>
      </c>
      <c r="I19" s="323">
        <f t="shared" si="0"/>
        <v>3.3120000000000003</v>
      </c>
    </row>
    <row r="20" spans="1:14" ht="28.8" x14ac:dyDescent="0.3">
      <c r="A20" s="168">
        <v>70</v>
      </c>
      <c r="B20" s="180" t="s">
        <v>589</v>
      </c>
      <c r="C20" s="171"/>
      <c r="D20" s="323">
        <v>1.3</v>
      </c>
      <c r="E20" s="168"/>
      <c r="F20" s="168">
        <v>1</v>
      </c>
      <c r="G20" s="168"/>
      <c r="H20" s="168"/>
      <c r="I20" s="323">
        <f t="shared" si="0"/>
        <v>1.3</v>
      </c>
    </row>
    <row r="21" spans="1:14" ht="28.8" x14ac:dyDescent="0.3">
      <c r="A21" s="168">
        <v>80</v>
      </c>
      <c r="B21" s="180" t="s">
        <v>609</v>
      </c>
      <c r="C21" s="193" t="s">
        <v>2729</v>
      </c>
      <c r="D21" s="323">
        <v>0.04</v>
      </c>
      <c r="E21" s="168" t="s">
        <v>610</v>
      </c>
      <c r="F21" s="168">
        <v>1.2</v>
      </c>
      <c r="G21" s="184" t="s">
        <v>598</v>
      </c>
      <c r="H21" s="168">
        <v>3</v>
      </c>
      <c r="I21" s="323">
        <f t="shared" si="0"/>
        <v>0.14400000000000002</v>
      </c>
    </row>
    <row r="22" spans="1:14" x14ac:dyDescent="0.3">
      <c r="A22" s="178"/>
      <c r="B22" s="178"/>
      <c r="C22" s="178"/>
      <c r="D22" s="178"/>
      <c r="E22" s="178"/>
      <c r="F22" s="178"/>
      <c r="G22" s="178"/>
      <c r="H22" s="840" t="s">
        <v>547</v>
      </c>
      <c r="I22" s="841">
        <f>SUM(I14:I21)</f>
        <v>10.112</v>
      </c>
    </row>
    <row r="23" spans="1:14" x14ac:dyDescent="0.3">
      <c r="D23" s="248"/>
    </row>
    <row r="24" spans="1:14" x14ac:dyDescent="0.3">
      <c r="L24" s="178"/>
      <c r="M24" s="178"/>
      <c r="N24" s="178"/>
    </row>
    <row r="26" spans="1:14" s="178" customFormat="1" x14ac:dyDescent="0.3">
      <c r="A26" s="161"/>
      <c r="B26" s="161"/>
      <c r="C26" s="161"/>
      <c r="D26" s="161"/>
      <c r="E26" s="161"/>
      <c r="F26" s="161"/>
      <c r="G26" s="161"/>
      <c r="H26" s="161"/>
      <c r="I26" s="161"/>
      <c r="J26" s="161"/>
      <c r="K26" s="161"/>
      <c r="L26" s="161"/>
      <c r="M26" s="161"/>
      <c r="N26" s="161"/>
    </row>
    <row r="28" spans="1:14" s="178" customFormat="1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  <c r="L28" s="161"/>
      <c r="M28" s="161"/>
      <c r="N28" s="161"/>
    </row>
    <row r="31" spans="1:14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  <c r="L31" s="161"/>
      <c r="M31" s="161"/>
      <c r="N31" s="161"/>
    </row>
    <row r="56" spans="2:7" x14ac:dyDescent="0.3">
      <c r="B56" s="161" t="s">
        <v>1375</v>
      </c>
      <c r="D56" s="161">
        <v>0.28999999999999998</v>
      </c>
      <c r="G56" s="161">
        <v>45</v>
      </c>
    </row>
  </sheetData>
  <pageMargins left="0.7" right="0.7" top="0.75" bottom="0.75" header="0.3" footer="0.3"/>
  <pageSetup paperSize="9" scale="52" orientation="landscape" r:id="rId1"/>
</worksheet>
</file>

<file path=xl/worksheets/sheet3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5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30.3320312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2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N11+I18</f>
        <v>3.1523818481530936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439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417</v>
      </c>
      <c r="D4" s="837" t="s">
        <v>541</v>
      </c>
      <c r="J4" s="837" t="s">
        <v>538</v>
      </c>
      <c r="M4" s="837" t="s">
        <v>539</v>
      </c>
      <c r="N4" s="336">
        <f>N1*N2</f>
        <v>12.609527392612375</v>
      </c>
    </row>
    <row r="5" spans="1:14" x14ac:dyDescent="0.3">
      <c r="A5" s="837" t="s">
        <v>537</v>
      </c>
      <c r="B5" s="199" t="s">
        <v>442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634" t="s">
        <v>726</v>
      </c>
      <c r="C10" s="183" t="s">
        <v>607</v>
      </c>
      <c r="D10" s="241">
        <v>2.25</v>
      </c>
      <c r="E10" s="183">
        <v>1.7000000000000001E-2</v>
      </c>
      <c r="F10" s="183" t="s">
        <v>644</v>
      </c>
      <c r="G10" s="183"/>
      <c r="H10" s="204"/>
      <c r="I10" s="269" t="s">
        <v>2673</v>
      </c>
      <c r="J10" s="206">
        <f>(E10*E10*PI())/4</f>
        <v>2.2698006922186259E-4</v>
      </c>
      <c r="K10" s="207">
        <v>2.7E-2</v>
      </c>
      <c r="L10" s="204">
        <v>7860</v>
      </c>
      <c r="M10" s="183">
        <v>1</v>
      </c>
      <c r="N10" s="385">
        <f>IF(J10="",D10*M10,D10*J10*K10*L10*M10)</f>
        <v>0.10838184815309328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0.10838184815309328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2.7</v>
      </c>
      <c r="G15" s="184" t="s">
        <v>598</v>
      </c>
      <c r="H15" s="168">
        <v>3</v>
      </c>
      <c r="I15" s="323">
        <f>IF($H15&lt;&gt;"",$D15*$F15*$H15,$D15*$F15)</f>
        <v>0.32400000000000007</v>
      </c>
    </row>
    <row r="16" spans="1:14" ht="43.2" x14ac:dyDescent="0.3">
      <c r="A16" s="168">
        <v>30</v>
      </c>
      <c r="B16" s="180" t="s">
        <v>589</v>
      </c>
      <c r="C16" s="171"/>
      <c r="D16" s="323">
        <v>1.3</v>
      </c>
      <c r="E16" s="168"/>
      <c r="F16" s="168">
        <v>1</v>
      </c>
      <c r="G16" s="168"/>
      <c r="H16" s="168"/>
      <c r="I16" s="323">
        <f>IF($H16&lt;&gt;"",$D16*$F16*$H16,$D16*$F16)</f>
        <v>1.3</v>
      </c>
    </row>
    <row r="17" spans="1:14" ht="28.8" x14ac:dyDescent="0.3">
      <c r="A17" s="168">
        <v>40</v>
      </c>
      <c r="B17" s="180" t="s">
        <v>609</v>
      </c>
      <c r="C17" s="193" t="s">
        <v>2674</v>
      </c>
      <c r="D17" s="323">
        <v>0.04</v>
      </c>
      <c r="E17" s="168" t="s">
        <v>610</v>
      </c>
      <c r="F17" s="168">
        <v>1</v>
      </c>
      <c r="G17" s="184" t="s">
        <v>598</v>
      </c>
      <c r="H17" s="168">
        <v>3</v>
      </c>
      <c r="I17" s="323">
        <f>IF($H17&lt;&gt;"",$D17*$F17*$H17,$D17*$F17)</f>
        <v>0.12</v>
      </c>
    </row>
    <row r="18" spans="1:14" x14ac:dyDescent="0.3">
      <c r="A18" s="178"/>
      <c r="B18" s="178"/>
      <c r="C18" s="178"/>
      <c r="D18" s="178"/>
      <c r="E18" s="178"/>
      <c r="F18" s="178"/>
      <c r="G18" s="178"/>
      <c r="H18" s="840" t="s">
        <v>547</v>
      </c>
      <c r="I18" s="841">
        <f>SUM(I14:I17)</f>
        <v>3.0440000000000005</v>
      </c>
    </row>
    <row r="19" spans="1:14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1" spans="1:14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3" spans="1:14" x14ac:dyDescent="0.3">
      <c r="J23" s="178"/>
      <c r="K23" s="178"/>
      <c r="L23" s="178"/>
      <c r="M23" s="178"/>
      <c r="N23" s="178"/>
    </row>
    <row r="25" spans="1:14" x14ac:dyDescent="0.3">
      <c r="K25" s="178"/>
      <c r="L25" s="178"/>
      <c r="M25" s="178"/>
      <c r="N25" s="178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2" spans="1:14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</row>
    <row r="34" spans="1:14" x14ac:dyDescent="0.3">
      <c r="K34" s="178"/>
      <c r="L34" s="178"/>
      <c r="M34" s="178"/>
      <c r="N34" s="178"/>
    </row>
    <row r="36" spans="1:14" x14ac:dyDescent="0.3">
      <c r="K36" s="178"/>
      <c r="L36" s="178"/>
      <c r="M36" s="178"/>
      <c r="N36" s="178"/>
    </row>
    <row r="39" spans="1:14" x14ac:dyDescent="0.3">
      <c r="K39" s="178"/>
      <c r="L39" s="178"/>
      <c r="M39" s="178"/>
      <c r="N39" s="178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46" spans="1:14" s="178" customFormat="1" x14ac:dyDescent="0.3">
      <c r="A46" s="161"/>
      <c r="B46" s="161"/>
      <c r="C46" s="161"/>
      <c r="D46" s="161"/>
      <c r="E46" s="161"/>
      <c r="F46" s="161"/>
      <c r="G46" s="161"/>
      <c r="H46" s="161"/>
      <c r="I46" s="161"/>
      <c r="J46" s="161"/>
      <c r="K46" s="161"/>
      <c r="L46" s="161"/>
      <c r="M46" s="161"/>
      <c r="N46" s="161"/>
    </row>
    <row r="56" spans="2:7" x14ac:dyDescent="0.3">
      <c r="B56" s="161" t="s">
        <v>1375</v>
      </c>
      <c r="D56" s="161">
        <v>0.28999999999999998</v>
      </c>
      <c r="G56" s="161">
        <v>45</v>
      </c>
    </row>
  </sheetData>
  <pageMargins left="0.7" right="0.7" top="0.75" bottom="0.75" header="0.3" footer="0.3"/>
  <pageSetup paperSize="9" scale="62" fitToHeight="0" orientation="landscape" r:id="rId1"/>
</worksheet>
</file>

<file path=xl/worksheets/sheet3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5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30.33203125" style="161" customWidth="1"/>
    <col min="4" max="4" width="13.5546875" style="161" bestFit="1" customWidth="1"/>
    <col min="5" max="5" width="14.3320312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20.77734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N11+I20</f>
        <v>4.3912299199999998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439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419</v>
      </c>
      <c r="D4" s="837" t="s">
        <v>541</v>
      </c>
      <c r="J4" s="837" t="s">
        <v>538</v>
      </c>
      <c r="M4" s="837" t="s">
        <v>539</v>
      </c>
      <c r="N4" s="336">
        <f>N1*N2</f>
        <v>17.564919679999999</v>
      </c>
    </row>
    <row r="5" spans="1:14" x14ac:dyDescent="0.3">
      <c r="A5" s="837" t="s">
        <v>537</v>
      </c>
      <c r="B5" s="199" t="s">
        <v>443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634" t="s">
        <v>726</v>
      </c>
      <c r="C10" s="183" t="s">
        <v>607</v>
      </c>
      <c r="D10" s="241">
        <v>2.25</v>
      </c>
      <c r="E10" s="183">
        <v>4.1000000000000002E-2</v>
      </c>
      <c r="F10" s="183" t="s">
        <v>644</v>
      </c>
      <c r="G10" s="183">
        <v>3.2000000000000001E-2</v>
      </c>
      <c r="H10" s="204" t="s">
        <v>644</v>
      </c>
      <c r="I10" s="269" t="s">
        <v>2675</v>
      </c>
      <c r="J10" s="206">
        <f>E10*G10</f>
        <v>1.312E-3</v>
      </c>
      <c r="K10" s="207">
        <v>1.0999999999999999E-2</v>
      </c>
      <c r="L10" s="204">
        <v>7860</v>
      </c>
      <c r="M10" s="183">
        <v>1</v>
      </c>
      <c r="N10" s="385">
        <f>IF(J10="",D10*M10,D10*J10*K10*L10*M10)</f>
        <v>0.25522992000000005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0.25522992000000005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 t="shared" ref="I14:I19" si="0">IF($H14&lt;&gt;"",$D14*$F14*$H14,$D14*$F14)</f>
        <v>1.3</v>
      </c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2.8</v>
      </c>
      <c r="G15" s="184" t="s">
        <v>598</v>
      </c>
      <c r="H15" s="168">
        <v>3</v>
      </c>
      <c r="I15" s="323">
        <f t="shared" si="0"/>
        <v>0.33599999999999997</v>
      </c>
    </row>
    <row r="16" spans="1:14" ht="28.8" x14ac:dyDescent="0.3">
      <c r="A16" s="168">
        <v>30</v>
      </c>
      <c r="B16" s="315" t="s">
        <v>609</v>
      </c>
      <c r="C16" s="193" t="s">
        <v>2690</v>
      </c>
      <c r="D16" s="323">
        <v>0.04</v>
      </c>
      <c r="E16" s="168" t="s">
        <v>610</v>
      </c>
      <c r="F16" s="168">
        <v>3.5</v>
      </c>
      <c r="G16" s="184" t="s">
        <v>598</v>
      </c>
      <c r="H16" s="168">
        <v>3</v>
      </c>
      <c r="I16" s="323">
        <f t="shared" si="0"/>
        <v>0.42000000000000004</v>
      </c>
    </row>
    <row r="17" spans="1:14" ht="43.2" x14ac:dyDescent="0.3">
      <c r="A17" s="168">
        <v>40</v>
      </c>
      <c r="B17" s="180" t="s">
        <v>589</v>
      </c>
      <c r="C17" s="171"/>
      <c r="D17" s="323">
        <v>1.3</v>
      </c>
      <c r="E17" s="168"/>
      <c r="F17" s="168">
        <v>1</v>
      </c>
      <c r="G17" s="168"/>
      <c r="H17" s="168"/>
      <c r="I17" s="323">
        <f t="shared" si="0"/>
        <v>1.3</v>
      </c>
    </row>
    <row r="18" spans="1:14" ht="28.8" x14ac:dyDescent="0.3">
      <c r="A18" s="168">
        <v>50</v>
      </c>
      <c r="B18" s="180" t="s">
        <v>791</v>
      </c>
      <c r="C18" s="171"/>
      <c r="D18" s="323">
        <v>0.35</v>
      </c>
      <c r="E18" s="168"/>
      <c r="F18" s="168">
        <v>2</v>
      </c>
      <c r="G18" s="168"/>
      <c r="H18" s="168"/>
      <c r="I18" s="323">
        <f t="shared" si="0"/>
        <v>0.7</v>
      </c>
    </row>
    <row r="19" spans="1:14" ht="43.2" x14ac:dyDescent="0.3">
      <c r="A19" s="168">
        <v>60</v>
      </c>
      <c r="B19" s="180" t="s">
        <v>862</v>
      </c>
      <c r="C19" s="193"/>
      <c r="D19" s="323">
        <v>0.1</v>
      </c>
      <c r="E19" s="168" t="s">
        <v>593</v>
      </c>
      <c r="F19" s="168">
        <v>0.8</v>
      </c>
      <c r="G19" s="168"/>
      <c r="H19" s="168"/>
      <c r="I19" s="323">
        <f t="shared" si="0"/>
        <v>8.0000000000000016E-2</v>
      </c>
    </row>
    <row r="20" spans="1:14" x14ac:dyDescent="0.3">
      <c r="A20" s="178"/>
      <c r="B20" s="178"/>
      <c r="C20" s="178"/>
      <c r="D20" s="178"/>
      <c r="E20" s="178"/>
      <c r="F20" s="178"/>
      <c r="G20" s="178"/>
      <c r="H20" s="840" t="s">
        <v>547</v>
      </c>
      <c r="I20" s="841">
        <f>SUM(I14:I19)</f>
        <v>4.1360000000000001</v>
      </c>
    </row>
    <row r="21" spans="1:14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3" spans="1:14" s="178" customFormat="1" x14ac:dyDescent="0.3">
      <c r="A23" s="161"/>
      <c r="B23" s="161"/>
      <c r="C23" s="161"/>
      <c r="D23" s="161"/>
      <c r="E23" s="161"/>
      <c r="F23" s="161"/>
      <c r="G23" s="161"/>
      <c r="H23" s="161"/>
      <c r="I23" s="161"/>
      <c r="J23" s="161"/>
      <c r="K23" s="161"/>
      <c r="L23" s="161"/>
      <c r="M23" s="161"/>
      <c r="N23" s="161"/>
    </row>
    <row r="25" spans="1:14" x14ac:dyDescent="0.3">
      <c r="J25" s="178"/>
      <c r="K25" s="178"/>
      <c r="L25" s="178"/>
      <c r="M25" s="178"/>
      <c r="N25" s="178"/>
    </row>
    <row r="27" spans="1:14" x14ac:dyDescent="0.3">
      <c r="K27" s="178"/>
      <c r="L27" s="178"/>
      <c r="M27" s="178"/>
      <c r="N27" s="178"/>
    </row>
    <row r="32" spans="1:14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</row>
    <row r="34" spans="1:14" s="178" customFormat="1" x14ac:dyDescent="0.3">
      <c r="A34" s="161"/>
      <c r="B34" s="161"/>
      <c r="C34" s="161"/>
      <c r="D34" s="161"/>
      <c r="E34" s="161"/>
      <c r="F34" s="161"/>
      <c r="G34" s="161"/>
      <c r="H34" s="161"/>
      <c r="I34" s="161"/>
      <c r="J34" s="161"/>
      <c r="K34" s="161"/>
      <c r="L34" s="161"/>
      <c r="M34" s="161"/>
      <c r="N34" s="161"/>
    </row>
    <row r="36" spans="1:14" x14ac:dyDescent="0.3">
      <c r="K36" s="178"/>
      <c r="L36" s="178"/>
      <c r="M36" s="178"/>
      <c r="N36" s="178"/>
    </row>
    <row r="38" spans="1:14" x14ac:dyDescent="0.3">
      <c r="K38" s="178"/>
      <c r="L38" s="178"/>
      <c r="M38" s="178"/>
      <c r="N38" s="178"/>
    </row>
    <row r="41" spans="1:14" x14ac:dyDescent="0.3">
      <c r="K41" s="178"/>
      <c r="L41" s="178"/>
      <c r="M41" s="178"/>
      <c r="N41" s="178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45" spans="1:14" s="178" customFormat="1" x14ac:dyDescent="0.3">
      <c r="A45" s="161"/>
      <c r="B45" s="161"/>
      <c r="C45" s="161"/>
      <c r="D45" s="161"/>
      <c r="E45" s="161"/>
      <c r="F45" s="161"/>
      <c r="G45" s="161"/>
      <c r="H45" s="161"/>
      <c r="I45" s="161"/>
      <c r="J45" s="161"/>
      <c r="K45" s="161"/>
      <c r="L45" s="161"/>
      <c r="M45" s="161"/>
      <c r="N45" s="161"/>
    </row>
    <row r="48" spans="1:14" s="178" customFormat="1" x14ac:dyDescent="0.3">
      <c r="A48" s="161"/>
      <c r="B48" s="161"/>
      <c r="C48" s="161"/>
      <c r="D48" s="161"/>
      <c r="E48" s="161"/>
      <c r="F48" s="161"/>
      <c r="G48" s="161"/>
      <c r="H48" s="161"/>
      <c r="I48" s="161"/>
      <c r="J48" s="161"/>
      <c r="K48" s="161"/>
      <c r="L48" s="161"/>
      <c r="M48" s="161"/>
      <c r="N48" s="161"/>
    </row>
    <row r="56" spans="2:7" x14ac:dyDescent="0.3">
      <c r="B56" s="161" t="s">
        <v>1375</v>
      </c>
      <c r="D56" s="161">
        <v>0.28999999999999998</v>
      </c>
      <c r="G56" s="161">
        <v>45</v>
      </c>
    </row>
  </sheetData>
  <pageMargins left="0.7" right="0.7" top="0.75" bottom="0.75" header="0.3" footer="0.3"/>
  <pageSetup paperSize="9" scale="62" fitToHeight="0" orientation="landscape" r:id="rId1"/>
</worksheet>
</file>

<file path=xl/worksheets/sheet3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60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30.3320312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2.5546875" style="161" customWidth="1"/>
    <col min="8" max="8" width="13.88671875" style="161" bestFit="1" customWidth="1"/>
    <col min="9" max="9" width="16.332031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6640625" style="16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N11+I32</f>
        <v>36.27448892000001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439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2730</v>
      </c>
      <c r="D4" s="837" t="s">
        <v>541</v>
      </c>
      <c r="J4" s="837" t="s">
        <v>538</v>
      </c>
      <c r="M4" s="837" t="s">
        <v>539</v>
      </c>
      <c r="N4" s="336">
        <f>N1*N2</f>
        <v>72.54897784000002</v>
      </c>
    </row>
    <row r="5" spans="1:14" x14ac:dyDescent="0.3">
      <c r="A5" s="837" t="s">
        <v>537</v>
      </c>
      <c r="B5" s="161" t="s">
        <v>444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1275</v>
      </c>
      <c r="C10" s="183"/>
      <c r="D10" s="241">
        <v>2.25</v>
      </c>
      <c r="E10" s="183">
        <v>6.8000000000000005E-2</v>
      </c>
      <c r="F10" s="183" t="s">
        <v>644</v>
      </c>
      <c r="G10" s="183">
        <v>6.9000000000000006E-2</v>
      </c>
      <c r="H10" s="204" t="s">
        <v>644</v>
      </c>
      <c r="I10" s="269" t="s">
        <v>2691</v>
      </c>
      <c r="J10" s="632">
        <f>E10*G10</f>
        <v>4.6920000000000009E-3</v>
      </c>
      <c r="K10" s="207">
        <v>4.5999999999999999E-2</v>
      </c>
      <c r="L10" s="204">
        <v>7860</v>
      </c>
      <c r="M10" s="168">
        <v>1</v>
      </c>
      <c r="N10" s="385">
        <f>IF(J10="",D10*M10,D10*J10*K10*L10*M10)</f>
        <v>3.8169889200000009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3.8169889200000009</v>
      </c>
    </row>
    <row r="13" spans="1:14" x14ac:dyDescent="0.3">
      <c r="A13" s="847" t="s">
        <v>544</v>
      </c>
      <c r="B13" s="847" t="s">
        <v>548</v>
      </c>
      <c r="C13" s="847" t="s">
        <v>549</v>
      </c>
      <c r="D13" s="847" t="s">
        <v>550</v>
      </c>
      <c r="E13" s="847" t="s">
        <v>551</v>
      </c>
      <c r="F13" s="847" t="s">
        <v>28</v>
      </c>
      <c r="G13" s="847" t="s">
        <v>552</v>
      </c>
      <c r="H13" s="847" t="s">
        <v>553</v>
      </c>
      <c r="I13" s="847" t="s">
        <v>547</v>
      </c>
      <c r="J13" s="178"/>
      <c r="K13" s="178"/>
      <c r="L13" s="178"/>
      <c r="M13" s="178"/>
      <c r="N13" s="178"/>
    </row>
    <row r="14" spans="1:14" ht="43.2" x14ac:dyDescent="0.3">
      <c r="A14" s="184">
        <v>10</v>
      </c>
      <c r="B14" s="180" t="s">
        <v>589</v>
      </c>
      <c r="C14" s="193"/>
      <c r="D14" s="362">
        <v>1.3</v>
      </c>
      <c r="E14" s="184"/>
      <c r="F14" s="184">
        <v>1</v>
      </c>
      <c r="G14" s="184"/>
      <c r="H14" s="184"/>
      <c r="I14" s="362">
        <f>IF($H14&lt;&gt;"",$D14*$F14*$H14,$D14*$F14)</f>
        <v>1.3</v>
      </c>
    </row>
    <row r="15" spans="1:14" ht="28.8" x14ac:dyDescent="0.3">
      <c r="A15" s="184">
        <v>20</v>
      </c>
      <c r="B15" s="180" t="s">
        <v>609</v>
      </c>
      <c r="C15" s="193" t="s">
        <v>1769</v>
      </c>
      <c r="D15" s="362">
        <v>0.04</v>
      </c>
      <c r="E15" s="184" t="s">
        <v>610</v>
      </c>
      <c r="F15" s="184">
        <v>144</v>
      </c>
      <c r="G15" s="184" t="s">
        <v>598</v>
      </c>
      <c r="H15" s="184">
        <v>3</v>
      </c>
      <c r="I15" s="362">
        <f t="shared" ref="I15:I31" si="0">IF($H15&lt;&gt;"",$D15*$F15*$H15,$D15*$F15)</f>
        <v>17.28</v>
      </c>
    </row>
    <row r="16" spans="1:14" ht="43.2" x14ac:dyDescent="0.3">
      <c r="A16" s="184">
        <v>30</v>
      </c>
      <c r="B16" s="180" t="s">
        <v>589</v>
      </c>
      <c r="C16" s="193"/>
      <c r="D16" s="362">
        <v>1.3</v>
      </c>
      <c r="E16" s="184"/>
      <c r="F16" s="184">
        <v>1</v>
      </c>
      <c r="G16" s="184"/>
      <c r="H16" s="184"/>
      <c r="I16" s="362">
        <f t="shared" si="0"/>
        <v>1.3</v>
      </c>
    </row>
    <row r="17" spans="1:9" ht="28.8" x14ac:dyDescent="0.3">
      <c r="A17" s="184">
        <v>40</v>
      </c>
      <c r="B17" s="180" t="s">
        <v>609</v>
      </c>
      <c r="C17" s="193" t="s">
        <v>2707</v>
      </c>
      <c r="D17" s="362">
        <v>0.04</v>
      </c>
      <c r="E17" s="184" t="s">
        <v>610</v>
      </c>
      <c r="F17" s="184">
        <v>5.4</v>
      </c>
      <c r="G17" s="184" t="s">
        <v>598</v>
      </c>
      <c r="H17" s="184">
        <v>3</v>
      </c>
      <c r="I17" s="362">
        <f t="shared" si="0"/>
        <v>0.64800000000000013</v>
      </c>
    </row>
    <row r="18" spans="1:9" ht="43.2" x14ac:dyDescent="0.3">
      <c r="A18" s="184">
        <v>50</v>
      </c>
      <c r="B18" s="180" t="s">
        <v>589</v>
      </c>
      <c r="C18" s="193"/>
      <c r="D18" s="362">
        <v>1.3</v>
      </c>
      <c r="E18" s="184"/>
      <c r="F18" s="184">
        <v>1</v>
      </c>
      <c r="G18" s="184"/>
      <c r="H18" s="184"/>
      <c r="I18" s="362">
        <f t="shared" si="0"/>
        <v>1.3</v>
      </c>
    </row>
    <row r="19" spans="1:9" ht="28.8" x14ac:dyDescent="0.3">
      <c r="A19" s="184">
        <v>60</v>
      </c>
      <c r="B19" s="180" t="s">
        <v>609</v>
      </c>
      <c r="C19" s="193" t="s">
        <v>2692</v>
      </c>
      <c r="D19" s="362">
        <v>0.04</v>
      </c>
      <c r="E19" s="184" t="s">
        <v>610</v>
      </c>
      <c r="F19" s="184">
        <v>3.5</v>
      </c>
      <c r="G19" s="184" t="s">
        <v>598</v>
      </c>
      <c r="H19" s="184">
        <v>3</v>
      </c>
      <c r="I19" s="362">
        <f t="shared" si="0"/>
        <v>0.42000000000000004</v>
      </c>
    </row>
    <row r="20" spans="1:9" ht="43.2" x14ac:dyDescent="0.3">
      <c r="A20" s="184">
        <v>70</v>
      </c>
      <c r="B20" s="180" t="s">
        <v>589</v>
      </c>
      <c r="C20" s="193"/>
      <c r="D20" s="362">
        <v>1.3</v>
      </c>
      <c r="E20" s="184"/>
      <c r="F20" s="184">
        <v>1</v>
      </c>
      <c r="G20" s="184"/>
      <c r="H20" s="184"/>
      <c r="I20" s="362">
        <f t="shared" si="0"/>
        <v>1.3</v>
      </c>
    </row>
    <row r="21" spans="1:9" ht="28.8" x14ac:dyDescent="0.3">
      <c r="A21" s="184">
        <v>80</v>
      </c>
      <c r="B21" s="180" t="s">
        <v>609</v>
      </c>
      <c r="C21" s="193" t="s">
        <v>2693</v>
      </c>
      <c r="D21" s="362">
        <v>0.04</v>
      </c>
      <c r="E21" s="184" t="s">
        <v>610</v>
      </c>
      <c r="F21" s="184">
        <v>3.5</v>
      </c>
      <c r="G21" s="184" t="s">
        <v>598</v>
      </c>
      <c r="H21" s="184">
        <v>3</v>
      </c>
      <c r="I21" s="362">
        <f t="shared" si="0"/>
        <v>0.42000000000000004</v>
      </c>
    </row>
    <row r="22" spans="1:9" ht="43.2" x14ac:dyDescent="0.3">
      <c r="A22" s="184">
        <v>90</v>
      </c>
      <c r="B22" s="180" t="s">
        <v>589</v>
      </c>
      <c r="C22" s="184"/>
      <c r="D22" s="184">
        <v>1.3</v>
      </c>
      <c r="E22" s="184"/>
      <c r="F22" s="184">
        <v>1</v>
      </c>
      <c r="G22" s="184"/>
      <c r="H22" s="184"/>
      <c r="I22" s="362">
        <f t="shared" si="0"/>
        <v>1.3</v>
      </c>
    </row>
    <row r="23" spans="1:9" ht="28.8" x14ac:dyDescent="0.3">
      <c r="A23" s="184">
        <v>100</v>
      </c>
      <c r="B23" s="184" t="s">
        <v>609</v>
      </c>
      <c r="C23" s="184" t="s">
        <v>2672</v>
      </c>
      <c r="D23" s="184">
        <v>0.04</v>
      </c>
      <c r="E23" s="184" t="s">
        <v>610</v>
      </c>
      <c r="F23" s="184">
        <v>11.9</v>
      </c>
      <c r="G23" s="184" t="s">
        <v>598</v>
      </c>
      <c r="H23" s="184">
        <v>3</v>
      </c>
      <c r="I23" s="362">
        <f t="shared" si="0"/>
        <v>1.4280000000000002</v>
      </c>
    </row>
    <row r="24" spans="1:9" ht="43.2" x14ac:dyDescent="0.3">
      <c r="A24" s="184">
        <v>110</v>
      </c>
      <c r="B24" s="180" t="s">
        <v>589</v>
      </c>
      <c r="C24" s="193"/>
      <c r="D24" s="362">
        <v>1.3</v>
      </c>
      <c r="E24" s="184"/>
      <c r="F24" s="184">
        <v>1</v>
      </c>
      <c r="G24" s="184"/>
      <c r="H24" s="184"/>
      <c r="I24" s="362">
        <f t="shared" si="0"/>
        <v>1.3</v>
      </c>
    </row>
    <row r="25" spans="1:9" ht="28.8" x14ac:dyDescent="0.3">
      <c r="A25" s="184">
        <v>120</v>
      </c>
      <c r="B25" s="180" t="s">
        <v>609</v>
      </c>
      <c r="C25" s="193" t="s">
        <v>2694</v>
      </c>
      <c r="D25" s="362">
        <v>0.04</v>
      </c>
      <c r="E25" s="184" t="s">
        <v>610</v>
      </c>
      <c r="F25" s="184">
        <v>4</v>
      </c>
      <c r="G25" s="184" t="s">
        <v>598</v>
      </c>
      <c r="H25" s="184">
        <v>3</v>
      </c>
      <c r="I25" s="362">
        <f t="shared" si="0"/>
        <v>0.48</v>
      </c>
    </row>
    <row r="26" spans="1:9" ht="43.2" x14ac:dyDescent="0.3">
      <c r="A26" s="184">
        <v>130</v>
      </c>
      <c r="B26" s="180" t="s">
        <v>589</v>
      </c>
      <c r="C26" s="193"/>
      <c r="D26" s="362">
        <v>1.3</v>
      </c>
      <c r="E26" s="184"/>
      <c r="F26" s="184">
        <v>1</v>
      </c>
      <c r="G26" s="184"/>
      <c r="H26" s="184"/>
      <c r="I26" s="362">
        <f t="shared" si="0"/>
        <v>1.3</v>
      </c>
    </row>
    <row r="27" spans="1:9" ht="28.8" x14ac:dyDescent="0.3">
      <c r="A27" s="184">
        <v>140</v>
      </c>
      <c r="B27" s="184" t="s">
        <v>609</v>
      </c>
      <c r="C27" s="193" t="s">
        <v>2695</v>
      </c>
      <c r="D27" s="362">
        <v>0.04</v>
      </c>
      <c r="E27" s="184" t="s">
        <v>610</v>
      </c>
      <c r="F27" s="184">
        <v>1.2</v>
      </c>
      <c r="G27" s="184" t="s">
        <v>598</v>
      </c>
      <c r="H27" s="184">
        <v>3</v>
      </c>
      <c r="I27" s="362">
        <f t="shared" si="0"/>
        <v>0.14400000000000002</v>
      </c>
    </row>
    <row r="28" spans="1:9" ht="28.8" x14ac:dyDescent="0.3">
      <c r="A28" s="184">
        <v>150</v>
      </c>
      <c r="B28" s="180" t="s">
        <v>791</v>
      </c>
      <c r="C28" s="193" t="s">
        <v>2696</v>
      </c>
      <c r="D28" s="362">
        <v>0.35</v>
      </c>
      <c r="E28" s="184"/>
      <c r="F28" s="184">
        <v>1</v>
      </c>
      <c r="G28" s="184" t="s">
        <v>2731</v>
      </c>
      <c r="H28" s="184">
        <v>1.25</v>
      </c>
      <c r="I28" s="362">
        <f t="shared" si="0"/>
        <v>0.4375</v>
      </c>
    </row>
    <row r="29" spans="1:9" ht="43.2" x14ac:dyDescent="0.3">
      <c r="A29" s="184">
        <v>160</v>
      </c>
      <c r="B29" s="180" t="s">
        <v>589</v>
      </c>
      <c r="C29" s="193"/>
      <c r="D29" s="362">
        <v>1.3</v>
      </c>
      <c r="E29" s="184"/>
      <c r="F29" s="184">
        <v>1</v>
      </c>
      <c r="G29" s="184"/>
      <c r="H29" s="184"/>
      <c r="I29" s="362">
        <f t="shared" si="0"/>
        <v>1.3</v>
      </c>
    </row>
    <row r="30" spans="1:9" ht="28.8" x14ac:dyDescent="0.3">
      <c r="A30" s="184">
        <v>170</v>
      </c>
      <c r="B30" s="180" t="s">
        <v>791</v>
      </c>
      <c r="C30" s="193" t="s">
        <v>2698</v>
      </c>
      <c r="D30" s="362">
        <v>0.35</v>
      </c>
      <c r="E30" s="184" t="s">
        <v>843</v>
      </c>
      <c r="F30" s="184">
        <v>2</v>
      </c>
      <c r="G30" s="184"/>
      <c r="H30" s="184"/>
      <c r="I30" s="362">
        <f t="shared" si="0"/>
        <v>0.7</v>
      </c>
    </row>
    <row r="31" spans="1:9" ht="43.2" x14ac:dyDescent="0.3">
      <c r="A31" s="184">
        <v>180</v>
      </c>
      <c r="B31" s="180" t="s">
        <v>862</v>
      </c>
      <c r="C31" s="193"/>
      <c r="D31" s="362">
        <v>0.1</v>
      </c>
      <c r="E31" s="184" t="s">
        <v>593</v>
      </c>
      <c r="F31" s="184">
        <v>1</v>
      </c>
      <c r="G31" s="184"/>
      <c r="H31" s="184"/>
      <c r="I31" s="362">
        <f t="shared" si="0"/>
        <v>0.1</v>
      </c>
    </row>
    <row r="32" spans="1:9" x14ac:dyDescent="0.3">
      <c r="A32" s="278"/>
      <c r="B32" s="278"/>
      <c r="C32" s="278"/>
      <c r="D32" s="278"/>
      <c r="E32" s="278"/>
      <c r="F32" s="278"/>
      <c r="G32" s="278"/>
      <c r="H32" s="850" t="s">
        <v>547</v>
      </c>
      <c r="I32" s="849">
        <f>SUM(I14:I31)</f>
        <v>32.45750000000001</v>
      </c>
    </row>
    <row r="33" spans="1:14" s="178" customFormat="1" x14ac:dyDescent="0.3">
      <c r="A33" s="161"/>
      <c r="B33" s="161"/>
      <c r="C33" s="161"/>
      <c r="D33" s="161"/>
      <c r="E33" s="161"/>
      <c r="F33" s="161"/>
      <c r="G33" s="161"/>
      <c r="H33" s="161"/>
      <c r="I33" s="161"/>
      <c r="J33" s="161"/>
      <c r="K33" s="161"/>
      <c r="L33" s="161"/>
      <c r="M33" s="161"/>
      <c r="N33" s="161"/>
    </row>
    <row r="35" spans="1:14" s="178" customFormat="1" x14ac:dyDescent="0.3">
      <c r="A35" s="161"/>
      <c r="B35" s="161"/>
      <c r="C35" s="161"/>
      <c r="D35" s="161"/>
      <c r="E35" s="161"/>
      <c r="F35" s="161"/>
      <c r="G35" s="161"/>
      <c r="H35" s="161"/>
      <c r="I35" s="161"/>
      <c r="J35" s="161"/>
      <c r="K35" s="161"/>
      <c r="L35" s="161"/>
      <c r="M35" s="161"/>
      <c r="N35" s="161"/>
    </row>
    <row r="36" spans="1:14" x14ac:dyDescent="0.3">
      <c r="J36" s="178"/>
    </row>
    <row r="37" spans="1:14" x14ac:dyDescent="0.3">
      <c r="K37" s="178"/>
      <c r="L37" s="178"/>
      <c r="M37" s="178"/>
      <c r="N37" s="178"/>
    </row>
    <row r="39" spans="1:14" x14ac:dyDescent="0.3">
      <c r="K39" s="178"/>
      <c r="L39" s="178"/>
      <c r="M39" s="178"/>
      <c r="N39" s="178"/>
    </row>
    <row r="44" spans="1:14" s="178" customFormat="1" x14ac:dyDescent="0.3">
      <c r="A44" s="161"/>
      <c r="B44" s="161"/>
      <c r="C44" s="161"/>
      <c r="D44" s="161"/>
      <c r="E44" s="161"/>
      <c r="F44" s="161"/>
      <c r="G44" s="161"/>
      <c r="H44" s="161"/>
      <c r="I44" s="161"/>
      <c r="J44" s="161"/>
      <c r="K44" s="161"/>
      <c r="L44" s="161"/>
      <c r="M44" s="161"/>
      <c r="N44" s="161"/>
    </row>
    <row r="46" spans="1:14" s="178" customFormat="1" x14ac:dyDescent="0.3">
      <c r="A46" s="161"/>
      <c r="B46" s="161"/>
      <c r="C46" s="161"/>
      <c r="D46" s="161"/>
      <c r="E46" s="161"/>
      <c r="F46" s="161"/>
      <c r="G46" s="161"/>
      <c r="H46" s="161"/>
      <c r="I46" s="161"/>
      <c r="J46" s="161"/>
      <c r="K46" s="161"/>
      <c r="L46" s="161"/>
      <c r="M46" s="161"/>
      <c r="N46" s="161"/>
    </row>
    <row r="48" spans="1:14" x14ac:dyDescent="0.3">
      <c r="K48" s="178"/>
      <c r="L48" s="178"/>
      <c r="M48" s="178"/>
      <c r="N48" s="178"/>
    </row>
    <row r="50" spans="1:14" x14ac:dyDescent="0.3">
      <c r="K50" s="178"/>
      <c r="L50" s="178"/>
      <c r="M50" s="178"/>
      <c r="N50" s="178"/>
    </row>
    <row r="53" spans="1:14" x14ac:dyDescent="0.3">
      <c r="K53" s="178"/>
      <c r="L53" s="178"/>
      <c r="M53" s="178"/>
      <c r="N53" s="178"/>
    </row>
    <row r="55" spans="1:14" s="178" customFormat="1" x14ac:dyDescent="0.3">
      <c r="A55" s="161"/>
      <c r="B55" s="161"/>
      <c r="C55" s="161"/>
      <c r="D55" s="161"/>
      <c r="E55" s="161"/>
      <c r="F55" s="161"/>
      <c r="G55" s="161"/>
      <c r="H55" s="161"/>
      <c r="I55" s="161"/>
      <c r="J55" s="161"/>
      <c r="K55" s="161"/>
      <c r="L55" s="161"/>
      <c r="M55" s="161"/>
      <c r="N55" s="161"/>
    </row>
    <row r="56" spans="1:14" x14ac:dyDescent="0.3">
      <c r="B56" s="161" t="s">
        <v>1375</v>
      </c>
      <c r="D56" s="161">
        <v>0.28999999999999998</v>
      </c>
      <c r="G56" s="161">
        <v>45</v>
      </c>
    </row>
    <row r="57" spans="1:14" s="178" customFormat="1" x14ac:dyDescent="0.3">
      <c r="A57" s="161"/>
      <c r="B57" s="161"/>
      <c r="C57" s="161"/>
      <c r="D57" s="161"/>
      <c r="E57" s="161"/>
      <c r="F57" s="161"/>
      <c r="G57" s="161"/>
      <c r="H57" s="161"/>
      <c r="I57" s="161"/>
      <c r="J57" s="161"/>
      <c r="K57" s="161"/>
      <c r="L57" s="161"/>
      <c r="M57" s="161"/>
      <c r="N57" s="161"/>
    </row>
    <row r="60" spans="1:14" s="178" customFormat="1" x14ac:dyDescent="0.3">
      <c r="A60" s="161"/>
      <c r="B60" s="161"/>
      <c r="C60" s="161"/>
      <c r="D60" s="161"/>
      <c r="E60" s="161"/>
      <c r="F60" s="161"/>
      <c r="G60" s="161"/>
      <c r="H60" s="161"/>
      <c r="I60" s="161"/>
      <c r="J60" s="161"/>
      <c r="K60" s="161"/>
      <c r="L60" s="161"/>
      <c r="M60" s="161"/>
      <c r="N60" s="161"/>
    </row>
  </sheetData>
  <pageMargins left="0.7" right="0.7" top="0.75" bottom="0.75" header="0.3" footer="0.3"/>
  <pageSetup paperSize="9" scale="40" orientation="landscape" r:id="rId1"/>
</worksheet>
</file>

<file path=xl/worksheets/sheet3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5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30.3320312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2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N11+I18</f>
        <v>3.1523818481530936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439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2711</v>
      </c>
      <c r="D4" s="837" t="s">
        <v>541</v>
      </c>
      <c r="J4" s="837" t="s">
        <v>538</v>
      </c>
      <c r="M4" s="837" t="s">
        <v>539</v>
      </c>
      <c r="N4" s="336">
        <f>N1*N2</f>
        <v>6.3047636963061873</v>
      </c>
    </row>
    <row r="5" spans="1:14" x14ac:dyDescent="0.3">
      <c r="A5" s="837" t="s">
        <v>537</v>
      </c>
      <c r="B5" s="199" t="s">
        <v>445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634" t="s">
        <v>726</v>
      </c>
      <c r="C10" s="183" t="s">
        <v>607</v>
      </c>
      <c r="D10" s="241">
        <v>2.25</v>
      </c>
      <c r="E10" s="183">
        <v>1.7000000000000001E-2</v>
      </c>
      <c r="F10" s="183" t="s">
        <v>644</v>
      </c>
      <c r="G10" s="183"/>
      <c r="H10" s="204"/>
      <c r="I10" s="269" t="s">
        <v>2673</v>
      </c>
      <c r="J10" s="206">
        <f>(E10*E10*PI())/4</f>
        <v>2.2698006922186259E-4</v>
      </c>
      <c r="K10" s="207">
        <v>2.7E-2</v>
      </c>
      <c r="L10" s="204">
        <v>7860</v>
      </c>
      <c r="M10" s="183">
        <v>1</v>
      </c>
      <c r="N10" s="385">
        <f>IF(J10="",D10*M10,D10*J10*K10*L10*M10)</f>
        <v>0.10838184815309328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0.10838184815309328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IF('SU 04006'!$H14&lt;&gt;"",'SU 04006'!$D14*'SU 04006'!$F14*'SU 04006'!$H14,'SU 04006'!$D14*'SU 04006'!$F14)</f>
        <v>1.3</v>
      </c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2.7</v>
      </c>
      <c r="G15" s="184" t="s">
        <v>598</v>
      </c>
      <c r="H15" s="168">
        <v>3</v>
      </c>
      <c r="I15" s="323">
        <f>IF('SU 04006'!$H15&lt;&gt;"",'SU 04006'!$D15*'SU 04006'!$F15*'SU 04006'!$H15,'SU 04006'!$D15*'SU 04006'!$F15)</f>
        <v>0.32400000000000007</v>
      </c>
    </row>
    <row r="16" spans="1:14" ht="43.2" x14ac:dyDescent="0.3">
      <c r="A16" s="168">
        <v>30</v>
      </c>
      <c r="B16" s="180" t="s">
        <v>589</v>
      </c>
      <c r="C16" s="171"/>
      <c r="D16" s="323">
        <v>1.3</v>
      </c>
      <c r="E16" s="168"/>
      <c r="F16" s="168">
        <v>1</v>
      </c>
      <c r="G16" s="168"/>
      <c r="H16" s="168"/>
      <c r="I16" s="323">
        <f>IF('SU 04006'!$H16&lt;&gt;"",'SU 04006'!$D16*'SU 04006'!$F16*'SU 04006'!$H16,'SU 04006'!$D16*'SU 04006'!$F16)</f>
        <v>1.3</v>
      </c>
    </row>
    <row r="17" spans="1:14" ht="28.8" x14ac:dyDescent="0.3">
      <c r="A17" s="168">
        <v>40</v>
      </c>
      <c r="B17" s="180" t="s">
        <v>609</v>
      </c>
      <c r="C17" s="193" t="s">
        <v>2674</v>
      </c>
      <c r="D17" s="323">
        <v>0.04</v>
      </c>
      <c r="E17" s="168" t="s">
        <v>610</v>
      </c>
      <c r="F17" s="168">
        <v>1</v>
      </c>
      <c r="G17" s="184" t="s">
        <v>598</v>
      </c>
      <c r="H17" s="168">
        <v>3</v>
      </c>
      <c r="I17" s="323">
        <f>IF('SU 04006'!$H17&lt;&gt;"",'SU 04006'!$D17*'SU 04006'!$F17*'SU 04006'!$H17,'SU 04006'!$D17*'SU 04006'!$F17)</f>
        <v>0.12</v>
      </c>
    </row>
    <row r="18" spans="1:14" x14ac:dyDescent="0.3">
      <c r="A18" s="178"/>
      <c r="B18" s="178"/>
      <c r="C18" s="178"/>
      <c r="D18" s="178"/>
      <c r="E18" s="178"/>
      <c r="F18" s="178"/>
      <c r="G18" s="178"/>
      <c r="H18" s="840" t="s">
        <v>547</v>
      </c>
      <c r="I18" s="841">
        <f>SUM(I14:I17)</f>
        <v>3.0440000000000005</v>
      </c>
    </row>
    <row r="19" spans="1:14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1" spans="1:14" s="178" customFormat="1" x14ac:dyDescent="0.3">
      <c r="A21" s="161"/>
      <c r="B21" s="161"/>
      <c r="C21" s="161"/>
      <c r="D21" s="161"/>
      <c r="E21" s="161"/>
      <c r="F21" s="161"/>
      <c r="G21" s="161"/>
      <c r="H21" s="161"/>
      <c r="I21" s="161"/>
      <c r="J21" s="161"/>
      <c r="K21" s="161"/>
      <c r="L21" s="161"/>
      <c r="M21" s="161"/>
      <c r="N21" s="161"/>
    </row>
    <row r="23" spans="1:14" x14ac:dyDescent="0.3">
      <c r="J23" s="178"/>
      <c r="K23" s="178"/>
      <c r="L23" s="178"/>
      <c r="M23" s="178"/>
      <c r="N23" s="178"/>
    </row>
    <row r="25" spans="1:14" x14ac:dyDescent="0.3">
      <c r="K25" s="178"/>
      <c r="L25" s="178"/>
      <c r="M25" s="178"/>
      <c r="N25" s="178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2" spans="1:14" s="178" customFormat="1" x14ac:dyDescent="0.3">
      <c r="A32" s="161"/>
      <c r="B32" s="161"/>
      <c r="C32" s="161"/>
      <c r="D32" s="161"/>
      <c r="E32" s="161"/>
      <c r="F32" s="161"/>
      <c r="G32" s="161"/>
      <c r="H32" s="161"/>
      <c r="I32" s="161"/>
      <c r="J32" s="161"/>
      <c r="K32" s="161"/>
      <c r="L32" s="161"/>
      <c r="M32" s="161"/>
      <c r="N32" s="161"/>
    </row>
    <row r="34" spans="1:14" x14ac:dyDescent="0.3">
      <c r="K34" s="178"/>
      <c r="L34" s="178"/>
      <c r="M34" s="178"/>
      <c r="N34" s="178"/>
    </row>
    <row r="36" spans="1:14" x14ac:dyDescent="0.3">
      <c r="K36" s="178"/>
      <c r="L36" s="178"/>
      <c r="M36" s="178"/>
      <c r="N36" s="178"/>
    </row>
    <row r="39" spans="1:14" x14ac:dyDescent="0.3">
      <c r="K39" s="178"/>
      <c r="L39" s="178"/>
      <c r="M39" s="178"/>
      <c r="N39" s="178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46" spans="1:14" s="178" customFormat="1" x14ac:dyDescent="0.3">
      <c r="A46" s="161"/>
      <c r="B46" s="161"/>
      <c r="C46" s="161"/>
      <c r="D46" s="161"/>
      <c r="E46" s="161"/>
      <c r="F46" s="161"/>
      <c r="G46" s="161"/>
      <c r="H46" s="161"/>
      <c r="I46" s="161"/>
      <c r="J46" s="161"/>
      <c r="K46" s="161"/>
      <c r="L46" s="161"/>
      <c r="M46" s="161"/>
      <c r="N46" s="161"/>
    </row>
    <row r="56" spans="2:7" x14ac:dyDescent="0.3">
      <c r="B56" s="161" t="s">
        <v>1375</v>
      </c>
      <c r="D56" s="161">
        <v>0.28999999999999998</v>
      </c>
      <c r="G56" s="161">
        <v>45</v>
      </c>
    </row>
  </sheetData>
  <pageMargins left="0.7" right="0.7" top="0.75" bottom="0.75" header="0.3" footer="0.3"/>
  <pageSetup paperSize="9" scale="62" fitToHeight="0" orientation="landscape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8"/>
  <sheetViews>
    <sheetView showGridLines="0" workbookViewId="0"/>
  </sheetViews>
  <sheetFormatPr defaultColWidth="9.109375" defaultRowHeight="14.4" x14ac:dyDescent="0.3"/>
  <cols>
    <col min="1" max="1" width="13.44140625" style="161" customWidth="1"/>
    <col min="2" max="2" width="24.33203125" style="161" customWidth="1"/>
    <col min="3" max="3" width="25.5546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7.6640625" style="161" customWidth="1"/>
    <col min="8" max="8" width="15.6640625" style="161" customWidth="1"/>
    <col min="9" max="9" width="19.441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20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N11+I18</f>
        <v>9.1639647999999987</v>
      </c>
    </row>
    <row r="2" spans="1:14" x14ac:dyDescent="0.3">
      <c r="A2" s="342" t="s">
        <v>532</v>
      </c>
      <c r="B2" s="161" t="s">
        <v>780</v>
      </c>
      <c r="C2" s="318" t="s">
        <v>732</v>
      </c>
      <c r="D2" s="345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68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775</v>
      </c>
      <c r="D4" s="342" t="s">
        <v>541</v>
      </c>
      <c r="J4" s="342" t="s">
        <v>538</v>
      </c>
      <c r="M4" s="342" t="s">
        <v>539</v>
      </c>
      <c r="N4" s="336">
        <f>N1*N2</f>
        <v>18.327929599999997</v>
      </c>
    </row>
    <row r="5" spans="1:14" x14ac:dyDescent="0.3">
      <c r="A5" s="342" t="s">
        <v>537</v>
      </c>
      <c r="B5" s="166" t="s">
        <v>74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90" t="s">
        <v>720</v>
      </c>
      <c r="C10" s="168"/>
      <c r="D10" s="323">
        <v>4.2</v>
      </c>
      <c r="E10" s="168">
        <v>100</v>
      </c>
      <c r="F10" s="168" t="s">
        <v>573</v>
      </c>
      <c r="G10" s="168">
        <v>52</v>
      </c>
      <c r="H10" s="219" t="s">
        <v>573</v>
      </c>
      <c r="I10" s="269" t="s">
        <v>794</v>
      </c>
      <c r="J10" s="340">
        <f>100*52/1000000</f>
        <v>5.1999999999999998E-3</v>
      </c>
      <c r="K10" s="228">
        <v>3.2000000000000001E-2</v>
      </c>
      <c r="L10" s="219">
        <v>2710</v>
      </c>
      <c r="M10" s="339">
        <v>1</v>
      </c>
      <c r="N10" s="322">
        <f>IF(J10="",D10*M10,D10*J10*K10*L10*M10)</f>
        <v>1.8939647999999998</v>
      </c>
    </row>
    <row r="11" spans="1:14" s="178" customFormat="1" x14ac:dyDescent="0.3">
      <c r="M11" s="338" t="s">
        <v>547</v>
      </c>
      <c r="N11" s="337">
        <f>SUM(N10:N10)</f>
        <v>1.8939647999999998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31.95" customHeight="1" x14ac:dyDescent="0.3">
      <c r="A14" s="168">
        <v>10</v>
      </c>
      <c r="B14" s="315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IF('EN 01005'!$H14&lt;&gt;"",'EN 01005'!$D14*'EN 01005'!$F14*'EN 01005'!$H14,'EN 01005'!$D14*'EN 01005'!$F14)</f>
        <v>1.3</v>
      </c>
    </row>
    <row r="15" spans="1:14" ht="28.8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118</v>
      </c>
      <c r="G15" s="315" t="s">
        <v>723</v>
      </c>
      <c r="H15" s="168">
        <v>1</v>
      </c>
      <c r="I15" s="322">
        <f>IF('EN 01005'!$H15&lt;&gt;"",'EN 01005'!$D15*'EN 01005'!$F15*'EN 01005'!$H15,'EN 01005'!$D15*'EN 01005'!$F15)</f>
        <v>4.72</v>
      </c>
    </row>
    <row r="16" spans="1:14" x14ac:dyDescent="0.3">
      <c r="A16" s="168">
        <v>30</v>
      </c>
      <c r="B16" s="315" t="s">
        <v>785</v>
      </c>
      <c r="C16" s="171"/>
      <c r="D16" s="323">
        <v>0.65</v>
      </c>
      <c r="E16" s="168" t="s">
        <v>556</v>
      </c>
      <c r="F16" s="168">
        <v>1</v>
      </c>
      <c r="G16" s="168"/>
      <c r="H16" s="168"/>
      <c r="I16" s="322">
        <f>IF('EN 01005'!$H16&lt;&gt;"",'EN 01005'!$D16*'EN 01005'!$F16*'EN 01005'!$H16,'EN 01005'!$D16*'EN 01005'!$F16)</f>
        <v>0.65</v>
      </c>
    </row>
    <row r="17" spans="1:9" ht="28.8" x14ac:dyDescent="0.3">
      <c r="A17" s="168">
        <v>40</v>
      </c>
      <c r="B17" s="171" t="s">
        <v>609</v>
      </c>
      <c r="C17" s="171" t="s">
        <v>2939</v>
      </c>
      <c r="D17" s="323">
        <v>0.04</v>
      </c>
      <c r="E17" s="168" t="s">
        <v>610</v>
      </c>
      <c r="F17" s="168">
        <v>15</v>
      </c>
      <c r="G17" s="180" t="s">
        <v>723</v>
      </c>
      <c r="H17" s="168">
        <v>1</v>
      </c>
      <c r="I17" s="322">
        <f>IF('EN 01005'!$H17&lt;&gt;"",'EN 01005'!$D17*'EN 01005'!$F17*'EN 01005'!$H17,'EN 01005'!$D17*'EN 01005'!$F17)</f>
        <v>0.6</v>
      </c>
    </row>
    <row r="18" spans="1:9" s="178" customFormat="1" x14ac:dyDescent="0.3">
      <c r="H18" s="338" t="s">
        <v>547</v>
      </c>
      <c r="I18" s="337">
        <f>SUM(I14:I17)</f>
        <v>7.27</v>
      </c>
    </row>
  </sheetData>
  <hyperlinks>
    <hyperlink ref="D2" location="'Bottom link drawing'!A1" display="FileLink1"/>
  </hyperlinks>
  <pageMargins left="0.5" right="0.5" top="0.75" bottom="0.75" header="0.3" footer="0.3"/>
  <pageSetup paperSize="9" scale="62" fitToHeight="0" orientation="landscape" r:id="rId1"/>
</worksheet>
</file>

<file path=xl/worksheets/sheet3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5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30.33203125" style="161" customWidth="1"/>
    <col min="4" max="4" width="13.5546875" style="161" bestFit="1" customWidth="1"/>
    <col min="5" max="5" width="14.109375" style="16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9.218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N11+I19</f>
        <v>2.4699953806999999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439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2712</v>
      </c>
      <c r="D4" s="837" t="s">
        <v>541</v>
      </c>
      <c r="J4" s="837" t="s">
        <v>538</v>
      </c>
      <c r="M4" s="837" t="s">
        <v>539</v>
      </c>
      <c r="N4" s="336">
        <f>N1*N2</f>
        <v>4.9399907613999998</v>
      </c>
    </row>
    <row r="5" spans="1:14" x14ac:dyDescent="0.3">
      <c r="A5" s="837" t="s">
        <v>537</v>
      </c>
      <c r="B5" s="199" t="s">
        <v>446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634" t="s">
        <v>726</v>
      </c>
      <c r="C10" s="218" t="s">
        <v>2732</v>
      </c>
      <c r="D10" s="858">
        <v>2.25</v>
      </c>
      <c r="E10" s="168">
        <v>7</v>
      </c>
      <c r="F10" s="168" t="s">
        <v>573</v>
      </c>
      <c r="G10" s="168"/>
      <c r="H10" s="859"/>
      <c r="I10" s="269" t="s">
        <v>2733</v>
      </c>
      <c r="J10" s="860">
        <f>3.14*0.007^2</f>
        <v>1.5386000000000002E-4</v>
      </c>
      <c r="K10" s="861">
        <v>2.7E-2</v>
      </c>
      <c r="L10" s="179">
        <v>7860</v>
      </c>
      <c r="M10" s="862">
        <v>1</v>
      </c>
      <c r="N10" s="858">
        <f>L10*K10*J10*D10</f>
        <v>7.3467380700000015E-2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7.3467380700000015E-2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93" t="s">
        <v>2734</v>
      </c>
      <c r="D14" s="664">
        <v>1.3</v>
      </c>
      <c r="E14" s="180" t="s">
        <v>556</v>
      </c>
      <c r="F14" s="168">
        <v>1</v>
      </c>
      <c r="G14" s="184"/>
      <c r="H14" s="168"/>
      <c r="I14" s="858">
        <f>D14</f>
        <v>1.3</v>
      </c>
    </row>
    <row r="15" spans="1:14" ht="28.8" x14ac:dyDescent="0.3">
      <c r="A15" s="168">
        <v>20</v>
      </c>
      <c r="B15" s="180" t="s">
        <v>609</v>
      </c>
      <c r="C15" s="184" t="s">
        <v>722</v>
      </c>
      <c r="D15" s="664">
        <v>0.04</v>
      </c>
      <c r="E15" s="180" t="s">
        <v>610</v>
      </c>
      <c r="F15" s="179">
        <v>0.69</v>
      </c>
      <c r="G15" s="184" t="s">
        <v>2525</v>
      </c>
      <c r="H15" s="168">
        <v>3</v>
      </c>
      <c r="I15" s="858">
        <f>D15*F15*H15</f>
        <v>8.2799999999999999E-2</v>
      </c>
    </row>
    <row r="16" spans="1:14" x14ac:dyDescent="0.3">
      <c r="A16" s="168">
        <v>30</v>
      </c>
      <c r="B16" s="171" t="s">
        <v>1249</v>
      </c>
      <c r="C16" s="171" t="s">
        <v>2735</v>
      </c>
      <c r="D16" s="664">
        <v>0.35</v>
      </c>
      <c r="E16" s="168" t="s">
        <v>843</v>
      </c>
      <c r="F16" s="168">
        <v>1</v>
      </c>
      <c r="G16" s="184"/>
      <c r="H16" s="168"/>
      <c r="I16" s="863">
        <f>D16</f>
        <v>0.35</v>
      </c>
    </row>
    <row r="17" spans="1:14" ht="28.8" x14ac:dyDescent="0.3">
      <c r="A17" s="168">
        <v>40</v>
      </c>
      <c r="B17" s="180" t="s">
        <v>785</v>
      </c>
      <c r="C17" s="171" t="s">
        <v>2527</v>
      </c>
      <c r="D17" s="664">
        <v>0.65</v>
      </c>
      <c r="E17" s="180" t="s">
        <v>556</v>
      </c>
      <c r="F17" s="168">
        <v>1</v>
      </c>
      <c r="G17" s="184"/>
      <c r="H17" s="168"/>
      <c r="I17" s="858">
        <f>D17</f>
        <v>0.65</v>
      </c>
    </row>
    <row r="18" spans="1:14" ht="28.8" x14ac:dyDescent="0.3">
      <c r="A18" s="168">
        <v>50</v>
      </c>
      <c r="B18" s="180" t="s">
        <v>609</v>
      </c>
      <c r="C18" s="168" t="s">
        <v>2584</v>
      </c>
      <c r="D18" s="664">
        <v>0.04</v>
      </c>
      <c r="E18" s="180" t="s">
        <v>610</v>
      </c>
      <c r="F18" s="316">
        <v>0.1144</v>
      </c>
      <c r="G18" s="184" t="s">
        <v>2525</v>
      </c>
      <c r="H18" s="168">
        <v>3</v>
      </c>
      <c r="I18" s="858">
        <f>D18*F18*H18</f>
        <v>1.3728000000000001E-2</v>
      </c>
    </row>
    <row r="19" spans="1:14" x14ac:dyDescent="0.3">
      <c r="A19" s="178"/>
      <c r="B19" s="178"/>
      <c r="C19" s="178"/>
      <c r="D19" s="178"/>
      <c r="E19" s="178"/>
      <c r="F19" s="178"/>
      <c r="G19" s="178"/>
      <c r="H19" s="840" t="s">
        <v>547</v>
      </c>
      <c r="I19" s="841">
        <f>SUM(I14:I18)</f>
        <v>2.396528</v>
      </c>
    </row>
    <row r="20" spans="1:14" s="178" customFormat="1" x14ac:dyDescent="0.3">
      <c r="A20" s="161"/>
      <c r="B20" s="161"/>
      <c r="C20" s="161"/>
      <c r="D20" s="161"/>
      <c r="E20" s="161"/>
      <c r="F20" s="161"/>
      <c r="G20" s="161"/>
      <c r="H20" s="161"/>
      <c r="I20" s="161"/>
      <c r="J20" s="161"/>
      <c r="K20" s="161"/>
      <c r="L20" s="161"/>
      <c r="M20" s="161"/>
      <c r="N20" s="161"/>
    </row>
    <row r="22" spans="1:14" s="178" customFormat="1" x14ac:dyDescent="0.3">
      <c r="A22" s="161"/>
      <c r="B22" s="161"/>
      <c r="C22" s="161"/>
      <c r="D22" s="161"/>
      <c r="E22" s="161"/>
      <c r="F22" s="161"/>
      <c r="G22" s="161"/>
      <c r="H22" s="161"/>
      <c r="I22" s="161"/>
      <c r="J22" s="161"/>
      <c r="K22" s="161"/>
      <c r="L22" s="161"/>
      <c r="M22" s="161"/>
      <c r="N22" s="161"/>
    </row>
    <row r="24" spans="1:14" x14ac:dyDescent="0.3">
      <c r="J24" s="178"/>
      <c r="K24" s="178"/>
      <c r="L24" s="178"/>
      <c r="M24" s="178"/>
      <c r="N24" s="178"/>
    </row>
    <row r="26" spans="1:14" x14ac:dyDescent="0.3">
      <c r="K26" s="178"/>
      <c r="L26" s="178"/>
      <c r="M26" s="178"/>
      <c r="N26" s="178"/>
    </row>
    <row r="31" spans="1:14" s="178" customFormat="1" x14ac:dyDescent="0.3">
      <c r="A31" s="161"/>
      <c r="B31" s="161"/>
      <c r="C31" s="161"/>
      <c r="D31" s="161"/>
      <c r="E31" s="161"/>
      <c r="F31" s="161"/>
      <c r="G31" s="161"/>
      <c r="H31" s="161"/>
      <c r="I31" s="161"/>
      <c r="J31" s="161"/>
      <c r="K31" s="161"/>
      <c r="L31" s="161"/>
      <c r="M31" s="161"/>
      <c r="N31" s="161"/>
    </row>
    <row r="33" spans="1:14" s="178" customFormat="1" x14ac:dyDescent="0.3">
      <c r="A33" s="161"/>
      <c r="B33" s="161"/>
      <c r="C33" s="161"/>
      <c r="D33" s="161"/>
      <c r="E33" s="161"/>
      <c r="F33" s="161"/>
      <c r="G33" s="161"/>
      <c r="H33" s="161"/>
      <c r="I33" s="161"/>
      <c r="J33" s="161"/>
      <c r="K33" s="161"/>
      <c r="L33" s="161"/>
      <c r="M33" s="161"/>
      <c r="N33" s="161"/>
    </row>
    <row r="35" spans="1:14" x14ac:dyDescent="0.3">
      <c r="K35" s="178"/>
      <c r="L35" s="178"/>
      <c r="M35" s="178"/>
      <c r="N35" s="178"/>
    </row>
    <row r="37" spans="1:14" x14ac:dyDescent="0.3">
      <c r="K37" s="178"/>
      <c r="L37" s="178"/>
      <c r="M37" s="178"/>
      <c r="N37" s="178"/>
    </row>
    <row r="40" spans="1:14" x14ac:dyDescent="0.3">
      <c r="K40" s="178"/>
      <c r="L40" s="178"/>
      <c r="M40" s="178"/>
      <c r="N40" s="178"/>
    </row>
    <row r="42" spans="1:14" s="178" customFormat="1" x14ac:dyDescent="0.3">
      <c r="A42" s="161"/>
      <c r="B42" s="161"/>
      <c r="C42" s="161"/>
      <c r="D42" s="161"/>
      <c r="E42" s="161"/>
      <c r="F42" s="161"/>
      <c r="G42" s="161"/>
      <c r="H42" s="161"/>
      <c r="I42" s="161"/>
      <c r="J42" s="161"/>
      <c r="K42" s="161"/>
      <c r="L42" s="161"/>
      <c r="M42" s="161"/>
      <c r="N42" s="161"/>
    </row>
    <row r="44" spans="1:14" s="178" customFormat="1" x14ac:dyDescent="0.3">
      <c r="A44" s="161"/>
      <c r="B44" s="161"/>
      <c r="C44" s="161"/>
      <c r="D44" s="161"/>
      <c r="E44" s="161"/>
      <c r="F44" s="161"/>
      <c r="G44" s="161"/>
      <c r="H44" s="161"/>
      <c r="I44" s="161"/>
      <c r="J44" s="161"/>
      <c r="K44" s="161"/>
      <c r="L44" s="161"/>
      <c r="M44" s="161"/>
      <c r="N44" s="161"/>
    </row>
    <row r="47" spans="1:14" s="178" customFormat="1" x14ac:dyDescent="0.3">
      <c r="A47" s="161"/>
      <c r="B47" s="161"/>
      <c r="C47" s="161"/>
      <c r="D47" s="161"/>
      <c r="E47" s="161"/>
      <c r="F47" s="161"/>
      <c r="G47" s="161"/>
      <c r="H47" s="161"/>
      <c r="I47" s="161"/>
      <c r="J47" s="161"/>
      <c r="K47" s="161"/>
      <c r="L47" s="161"/>
      <c r="M47" s="161"/>
      <c r="N47" s="161"/>
    </row>
    <row r="57" spans="2:7" x14ac:dyDescent="0.3">
      <c r="B57" s="161" t="s">
        <v>1375</v>
      </c>
      <c r="D57" s="161">
        <v>0.28999999999999998</v>
      </c>
      <c r="G57" s="161">
        <v>45</v>
      </c>
    </row>
  </sheetData>
  <pageMargins left="0.7" right="0.7" top="0.75" bottom="0.75" header="0.3" footer="0.3"/>
  <pageSetup paperSize="9" scale="62" fitToHeight="0" orientation="landscape" r:id="rId1"/>
</worksheet>
</file>

<file path=xl/worksheets/sheet3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5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30.33203125" style="161" customWidth="1"/>
    <col min="4" max="4" width="13.5546875" style="161" bestFit="1" customWidth="1"/>
    <col min="5" max="5" width="14.21875" style="161" customWidth="1"/>
    <col min="6" max="6" width="12" style="161" bestFit="1" customWidth="1"/>
    <col min="7" max="7" width="19.77734375" style="161" customWidth="1"/>
    <col min="8" max="8" width="13.10937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88671875" style="16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0.14281516440451272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12</v>
      </c>
    </row>
    <row r="3" spans="1:14" x14ac:dyDescent="0.3">
      <c r="A3" s="837" t="s">
        <v>534</v>
      </c>
      <c r="B3" s="161" t="s">
        <v>439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78</v>
      </c>
      <c r="D4" s="837" t="s">
        <v>541</v>
      </c>
      <c r="J4" s="837" t="s">
        <v>538</v>
      </c>
      <c r="M4" s="837" t="s">
        <v>539</v>
      </c>
      <c r="N4" s="336">
        <f>N1*N2</f>
        <v>1.7137819728541528</v>
      </c>
    </row>
    <row r="5" spans="1:14" x14ac:dyDescent="0.3">
      <c r="A5" s="837" t="s">
        <v>537</v>
      </c>
      <c r="B5" s="199" t="s">
        <v>2736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720</v>
      </c>
      <c r="C10" s="183" t="s">
        <v>607</v>
      </c>
      <c r="D10" s="241">
        <v>4.2</v>
      </c>
      <c r="E10" s="183">
        <v>1.7999999999999999E-2</v>
      </c>
      <c r="F10" s="183" t="s">
        <v>644</v>
      </c>
      <c r="G10" s="183"/>
      <c r="H10" s="204"/>
      <c r="I10" s="269" t="s">
        <v>2677</v>
      </c>
      <c r="J10" s="206">
        <f>(PI()*E10*E10)/4</f>
        <v>2.5446900494077322E-4</v>
      </c>
      <c r="K10" s="207">
        <v>5.0000000000000001E-3</v>
      </c>
      <c r="L10" s="204">
        <v>2710</v>
      </c>
      <c r="M10" s="183">
        <v>1</v>
      </c>
      <c r="N10" s="385">
        <f>IF(J10="",D10*M10,D10*J10*K10*L10*M10)</f>
        <v>1.4481831071179405E-2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841">
        <f>SUM(N10:N10)</f>
        <v>1.4481831071179405E-2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2938</v>
      </c>
      <c r="H14" s="972">
        <f>1/12</f>
        <v>8.3333333333333329E-2</v>
      </c>
      <c r="I14" s="323">
        <f>IF('SU 04008'!$H14&lt;&gt;"",'SU 04008'!$D14*'SU 04008'!$F14*'SU 04008'!$H14,'SU 04008'!$D14*'SU 04008'!$F14)</f>
        <v>0.10833333333333334</v>
      </c>
    </row>
    <row r="15" spans="1:14" x14ac:dyDescent="0.3">
      <c r="A15" s="168">
        <v>20</v>
      </c>
      <c r="B15" s="180" t="s">
        <v>609</v>
      </c>
      <c r="C15" s="171"/>
      <c r="D15" s="323">
        <v>0.04</v>
      </c>
      <c r="E15" s="168" t="s">
        <v>610</v>
      </c>
      <c r="F15" s="168">
        <v>0.5</v>
      </c>
      <c r="G15" s="184" t="s">
        <v>710</v>
      </c>
      <c r="H15" s="168">
        <v>1</v>
      </c>
      <c r="I15" s="323">
        <f>IF('SU 04008'!$H15&lt;&gt;"",'SU 04008'!$D15*'SU 04008'!$F15*'SU 04008'!$H15,'SU 04008'!$D15*'SU 04008'!$F15)</f>
        <v>0.02</v>
      </c>
    </row>
    <row r="16" spans="1:14" s="178" customFormat="1" x14ac:dyDescent="0.3">
      <c r="H16" s="840" t="s">
        <v>547</v>
      </c>
      <c r="I16" s="841">
        <f>SUM(I14:I15)</f>
        <v>0.12833333333333333</v>
      </c>
      <c r="J16" s="161"/>
      <c r="K16" s="161"/>
      <c r="L16" s="161"/>
      <c r="M16" s="161"/>
      <c r="N16" s="161"/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19" spans="1:14" x14ac:dyDescent="0.3">
      <c r="J19" s="178"/>
    </row>
    <row r="20" spans="1:14" x14ac:dyDescent="0.3">
      <c r="K20" s="178"/>
      <c r="L20" s="178"/>
      <c r="M20" s="178"/>
      <c r="N20" s="178"/>
    </row>
    <row r="22" spans="1:14" x14ac:dyDescent="0.3">
      <c r="K22" s="178"/>
      <c r="L22" s="178"/>
      <c r="M22" s="178"/>
      <c r="N22" s="178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x14ac:dyDescent="0.3">
      <c r="K31" s="178"/>
      <c r="L31" s="178"/>
      <c r="M31" s="178"/>
      <c r="N31" s="178"/>
    </row>
    <row r="33" spans="1:14" x14ac:dyDescent="0.3">
      <c r="K33" s="178"/>
      <c r="L33" s="178"/>
      <c r="M33" s="178"/>
      <c r="N33" s="178"/>
    </row>
    <row r="36" spans="1:14" x14ac:dyDescent="0.3">
      <c r="K36" s="178"/>
      <c r="L36" s="178"/>
      <c r="M36" s="178"/>
      <c r="N36" s="178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  <row r="56" spans="2:7" x14ac:dyDescent="0.3">
      <c r="B56" s="161" t="s">
        <v>1375</v>
      </c>
      <c r="D56" s="161">
        <v>0.28999999999999998</v>
      </c>
      <c r="G56" s="161">
        <v>45</v>
      </c>
    </row>
  </sheetData>
  <pageMargins left="0.7" right="0.7" top="0.75" bottom="0.75" header="0.3" footer="0.3"/>
  <pageSetup paperSize="9" scale="62" fitToHeight="0" orientation="landscape" r:id="rId1"/>
</worksheet>
</file>

<file path=xl/worksheets/sheet3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Z39"/>
  <sheetViews>
    <sheetView showGridLines="0" workbookViewId="0"/>
  </sheetViews>
  <sheetFormatPr defaultColWidth="11.44140625" defaultRowHeight="14.4" x14ac:dyDescent="0.3"/>
  <cols>
    <col min="1" max="1" width="11.44140625" style="211"/>
    <col min="2" max="2" width="36.88671875" style="211" customWidth="1"/>
    <col min="3" max="3" width="46" style="211" customWidth="1"/>
    <col min="4" max="4" width="11.44140625" style="211"/>
    <col min="5" max="5" width="12.88671875" style="211" customWidth="1"/>
    <col min="6" max="7" width="11.44140625" style="211"/>
    <col min="8" max="8" width="15.88671875" style="211" bestFit="1" customWidth="1"/>
    <col min="9" max="12" width="11.44140625" style="211"/>
    <col min="13" max="13" width="13.6640625" style="211" bestFit="1" customWidth="1"/>
    <col min="14" max="14" width="16" style="211" customWidth="1"/>
    <col min="15" max="16384" width="11.44140625" style="211"/>
  </cols>
  <sheetData>
    <row r="1" spans="1:15" x14ac:dyDescent="0.3">
      <c r="A1" s="832" t="s">
        <v>523</v>
      </c>
      <c r="B1" s="161" t="s">
        <v>524</v>
      </c>
      <c r="J1" s="832" t="s">
        <v>528</v>
      </c>
      <c r="K1" s="163">
        <v>81</v>
      </c>
      <c r="M1" s="832" t="s">
        <v>531</v>
      </c>
      <c r="N1" s="864">
        <f>E12+I28+J35+I39+N16</f>
        <v>337.68659586666666</v>
      </c>
    </row>
    <row r="2" spans="1:15" x14ac:dyDescent="0.3">
      <c r="A2" s="832" t="s">
        <v>532</v>
      </c>
      <c r="B2" s="311" t="s">
        <v>411</v>
      </c>
      <c r="M2" s="832" t="s">
        <v>533</v>
      </c>
      <c r="N2" s="425">
        <v>2</v>
      </c>
    </row>
    <row r="3" spans="1:15" x14ac:dyDescent="0.3">
      <c r="A3" s="832" t="s">
        <v>534</v>
      </c>
      <c r="B3" s="211" t="s">
        <v>2737</v>
      </c>
      <c r="J3" s="832" t="s">
        <v>536</v>
      </c>
    </row>
    <row r="4" spans="1:15" x14ac:dyDescent="0.3">
      <c r="A4" s="832" t="s">
        <v>537</v>
      </c>
      <c r="B4" s="166" t="s">
        <v>447</v>
      </c>
      <c r="J4" s="832" t="s">
        <v>538</v>
      </c>
      <c r="M4" s="832" t="s">
        <v>539</v>
      </c>
      <c r="N4" s="864">
        <f>N2*N1</f>
        <v>675.37319173333333</v>
      </c>
    </row>
    <row r="5" spans="1:15" x14ac:dyDescent="0.3">
      <c r="A5" s="832" t="s">
        <v>540</v>
      </c>
      <c r="B5" s="311" t="s">
        <v>36</v>
      </c>
      <c r="J5" s="832" t="s">
        <v>541</v>
      </c>
    </row>
    <row r="6" spans="1:15" x14ac:dyDescent="0.3">
      <c r="A6" s="832" t="s">
        <v>542</v>
      </c>
      <c r="B6" s="311" t="s">
        <v>2738</v>
      </c>
    </row>
    <row r="8" spans="1:15" x14ac:dyDescent="0.3">
      <c r="A8" s="833" t="s">
        <v>544</v>
      </c>
      <c r="B8" s="833" t="s">
        <v>545</v>
      </c>
      <c r="C8" s="833" t="s">
        <v>546</v>
      </c>
      <c r="D8" s="833" t="s">
        <v>28</v>
      </c>
      <c r="E8" s="833" t="s">
        <v>547</v>
      </c>
    </row>
    <row r="9" spans="1:15" x14ac:dyDescent="0.3">
      <c r="A9" s="183">
        <v>10</v>
      </c>
      <c r="B9" s="865" t="s">
        <v>2739</v>
      </c>
      <c r="C9" s="185">
        <f>'SU 05001'!N1</f>
        <v>305</v>
      </c>
      <c r="D9" s="414">
        <v>1</v>
      </c>
      <c r="E9" s="210">
        <f>C9*D9</f>
        <v>305</v>
      </c>
    </row>
    <row r="10" spans="1:15" x14ac:dyDescent="0.3">
      <c r="A10" s="183">
        <v>20</v>
      </c>
      <c r="B10" s="865" t="s">
        <v>452</v>
      </c>
      <c r="C10" s="185">
        <f>'SU 05002'!N1</f>
        <v>25</v>
      </c>
      <c r="D10" s="414">
        <v>1</v>
      </c>
      <c r="E10" s="210">
        <f>C10*D10</f>
        <v>25</v>
      </c>
      <c r="H10" s="866"/>
      <c r="I10" s="867"/>
      <c r="J10" s="867"/>
      <c r="K10" s="868"/>
      <c r="L10" s="867"/>
      <c r="M10" s="867"/>
      <c r="N10" s="867"/>
      <c r="O10" s="867"/>
    </row>
    <row r="11" spans="1:15" x14ac:dyDescent="0.3">
      <c r="A11" s="183">
        <v>30</v>
      </c>
      <c r="B11" s="183" t="s">
        <v>2740</v>
      </c>
      <c r="C11" s="185">
        <f>'SU 05003'!N1</f>
        <v>2.6553292000000002</v>
      </c>
      <c r="D11" s="414">
        <v>1</v>
      </c>
      <c r="E11" s="210">
        <f>C11*D11</f>
        <v>2.6553292000000002</v>
      </c>
    </row>
    <row r="12" spans="1:15" x14ac:dyDescent="0.3">
      <c r="D12" s="836" t="s">
        <v>547</v>
      </c>
      <c r="E12" s="869">
        <f>SUM(E9:E11)</f>
        <v>332.65532919999998</v>
      </c>
    </row>
    <row r="14" spans="1:15" x14ac:dyDescent="0.3">
      <c r="A14" s="833" t="s">
        <v>544</v>
      </c>
      <c r="B14" s="833" t="s">
        <v>581</v>
      </c>
      <c r="C14" s="833" t="s">
        <v>549</v>
      </c>
      <c r="D14" s="833" t="s">
        <v>550</v>
      </c>
      <c r="E14" s="833" t="s">
        <v>567</v>
      </c>
      <c r="F14" s="833" t="s">
        <v>568</v>
      </c>
      <c r="G14" s="833" t="s">
        <v>569</v>
      </c>
      <c r="H14" s="833" t="s">
        <v>570</v>
      </c>
      <c r="I14" s="833" t="s">
        <v>582</v>
      </c>
      <c r="J14" s="833" t="s">
        <v>583</v>
      </c>
      <c r="K14" s="833" t="s">
        <v>584</v>
      </c>
      <c r="L14" s="833" t="s">
        <v>585</v>
      </c>
      <c r="M14" s="833" t="s">
        <v>28</v>
      </c>
      <c r="N14" s="833" t="s">
        <v>547</v>
      </c>
    </row>
    <row r="15" spans="1:15" x14ac:dyDescent="0.3">
      <c r="A15" s="217">
        <v>10</v>
      </c>
      <c r="B15" s="217" t="s">
        <v>625</v>
      </c>
      <c r="C15" s="193" t="s">
        <v>2741</v>
      </c>
      <c r="D15" s="870">
        <v>10</v>
      </c>
      <c r="E15" s="871">
        <v>4.0000000000000001E-3</v>
      </c>
      <c r="F15" s="183" t="s">
        <v>627</v>
      </c>
      <c r="G15" s="183"/>
      <c r="H15" s="204"/>
      <c r="I15" s="205"/>
      <c r="J15" s="430"/>
      <c r="K15" s="204"/>
      <c r="L15" s="204"/>
      <c r="M15" s="431">
        <v>1</v>
      </c>
      <c r="N15" s="210">
        <f>D15*E15</f>
        <v>0.04</v>
      </c>
    </row>
    <row r="16" spans="1:15" x14ac:dyDescent="0.3">
      <c r="A16" s="872"/>
      <c r="B16" s="872"/>
      <c r="C16" s="615"/>
      <c r="D16" s="873"/>
      <c r="E16" s="874"/>
      <c r="F16" s="311"/>
      <c r="G16" s="311"/>
      <c r="H16" s="875"/>
      <c r="I16" s="876"/>
      <c r="J16" s="877"/>
      <c r="K16" s="875"/>
      <c r="L16" s="875"/>
      <c r="M16" s="836" t="s">
        <v>547</v>
      </c>
      <c r="N16" s="869">
        <f>N15</f>
        <v>0.04</v>
      </c>
    </row>
    <row r="17" spans="1:26" x14ac:dyDescent="0.3">
      <c r="A17" s="872"/>
      <c r="B17" s="878"/>
      <c r="C17" s="615"/>
      <c r="D17" s="873"/>
      <c r="E17" s="311"/>
      <c r="F17" s="311"/>
      <c r="G17" s="311"/>
      <c r="H17" s="875"/>
      <c r="I17" s="876"/>
      <c r="J17" s="877"/>
      <c r="K17" s="875"/>
      <c r="L17" s="875"/>
    </row>
    <row r="18" spans="1:26" x14ac:dyDescent="0.3">
      <c r="A18" s="833" t="s">
        <v>544</v>
      </c>
      <c r="B18" s="833" t="s">
        <v>548</v>
      </c>
      <c r="C18" s="833" t="s">
        <v>549</v>
      </c>
      <c r="D18" s="833" t="s">
        <v>550</v>
      </c>
      <c r="E18" s="833" t="s">
        <v>551</v>
      </c>
      <c r="F18" s="833" t="s">
        <v>28</v>
      </c>
      <c r="G18" s="833" t="s">
        <v>552</v>
      </c>
      <c r="H18" s="833" t="s">
        <v>553</v>
      </c>
      <c r="I18" s="833" t="s">
        <v>547</v>
      </c>
      <c r="J18" s="432"/>
      <c r="K18" s="432"/>
      <c r="L18" s="432"/>
    </row>
    <row r="19" spans="1:26" x14ac:dyDescent="0.3">
      <c r="A19" s="217">
        <v>10</v>
      </c>
      <c r="B19" s="414" t="s">
        <v>650</v>
      </c>
      <c r="C19" s="414" t="s">
        <v>2742</v>
      </c>
      <c r="D19" s="185">
        <v>0.15</v>
      </c>
      <c r="E19" s="183" t="s">
        <v>593</v>
      </c>
      <c r="F19" s="414">
        <v>4.7119999999999997</v>
      </c>
      <c r="G19" s="180" t="s">
        <v>679</v>
      </c>
      <c r="H19" s="414">
        <v>2</v>
      </c>
      <c r="I19" s="870">
        <f>H19*F19*D19</f>
        <v>1.4136</v>
      </c>
      <c r="M19" s="311"/>
      <c r="N19" s="451"/>
      <c r="O19" s="311"/>
      <c r="P19" s="879"/>
      <c r="Q19" s="311"/>
      <c r="R19" s="311"/>
      <c r="S19" s="311"/>
      <c r="T19" s="875"/>
      <c r="U19" s="880"/>
      <c r="V19" s="877"/>
      <c r="W19" s="875"/>
      <c r="X19" s="881"/>
      <c r="Y19" s="882"/>
      <c r="Z19" s="864"/>
    </row>
    <row r="20" spans="1:26" x14ac:dyDescent="0.3">
      <c r="A20" s="217">
        <v>20</v>
      </c>
      <c r="B20" s="180" t="s">
        <v>653</v>
      </c>
      <c r="C20" s="193" t="s">
        <v>2743</v>
      </c>
      <c r="D20" s="829">
        <v>5.25</v>
      </c>
      <c r="E20" s="183" t="s">
        <v>627</v>
      </c>
      <c r="F20" s="871">
        <v>4.0000000000000001E-3</v>
      </c>
      <c r="G20" s="183"/>
      <c r="H20" s="217"/>
      <c r="I20" s="883">
        <f>F20*D20</f>
        <v>2.1000000000000001E-2</v>
      </c>
      <c r="M20" s="311"/>
      <c r="N20" s="451"/>
      <c r="O20" s="311"/>
      <c r="P20" s="884"/>
      <c r="Q20" s="311"/>
      <c r="R20" s="311"/>
      <c r="S20" s="311"/>
      <c r="T20" s="875"/>
      <c r="U20" s="880"/>
      <c r="V20" s="877"/>
      <c r="W20" s="875"/>
      <c r="X20" s="875"/>
      <c r="Y20" s="882"/>
      <c r="Z20" s="864"/>
    </row>
    <row r="21" spans="1:26" x14ac:dyDescent="0.3">
      <c r="A21" s="217">
        <v>30</v>
      </c>
      <c r="B21" s="180" t="s">
        <v>557</v>
      </c>
      <c r="C21" s="885" t="s">
        <v>2744</v>
      </c>
      <c r="D21" s="241">
        <v>0.06</v>
      </c>
      <c r="E21" s="315" t="s">
        <v>556</v>
      </c>
      <c r="F21" s="414">
        <v>1</v>
      </c>
      <c r="G21" s="180"/>
      <c r="H21" s="431"/>
      <c r="I21" s="883">
        <f t="shared" ref="I21:I27" si="0">F21*D21</f>
        <v>0.06</v>
      </c>
      <c r="J21" s="877"/>
      <c r="K21" s="875"/>
      <c r="L21" s="875"/>
      <c r="M21" s="311"/>
      <c r="N21" s="451"/>
      <c r="O21" s="311"/>
      <c r="P21" s="886"/>
      <c r="Q21" s="311"/>
      <c r="R21" s="311"/>
      <c r="S21" s="311"/>
      <c r="T21" s="875"/>
      <c r="U21" s="880"/>
      <c r="V21" s="877"/>
      <c r="W21" s="875"/>
      <c r="X21" s="875"/>
      <c r="Y21" s="882"/>
      <c r="Z21" s="864"/>
    </row>
    <row r="22" spans="1:26" x14ac:dyDescent="0.3">
      <c r="A22" s="183">
        <v>40</v>
      </c>
      <c r="B22" s="180" t="s">
        <v>557</v>
      </c>
      <c r="C22" s="414" t="s">
        <v>2745</v>
      </c>
      <c r="D22" s="241">
        <v>0.06</v>
      </c>
      <c r="E22" s="183" t="s">
        <v>556</v>
      </c>
      <c r="F22" s="414">
        <v>1</v>
      </c>
      <c r="G22" s="180"/>
      <c r="H22" s="414"/>
      <c r="I22" s="883">
        <f t="shared" si="0"/>
        <v>0.06</v>
      </c>
      <c r="J22" s="877"/>
      <c r="K22" s="875"/>
      <c r="L22" s="875"/>
      <c r="M22" s="311"/>
      <c r="N22" s="451"/>
      <c r="O22" s="311"/>
      <c r="P22" s="873"/>
      <c r="Q22" s="311"/>
      <c r="R22" s="311"/>
      <c r="S22" s="311"/>
      <c r="T22" s="875"/>
      <c r="U22" s="880"/>
      <c r="V22" s="877"/>
      <c r="W22" s="875"/>
      <c r="X22" s="875"/>
      <c r="Y22" s="882"/>
      <c r="Z22" s="864"/>
    </row>
    <row r="23" spans="1:26" x14ac:dyDescent="0.3">
      <c r="A23" s="217">
        <v>50</v>
      </c>
      <c r="B23" s="180" t="s">
        <v>559</v>
      </c>
      <c r="C23" s="183" t="s">
        <v>2746</v>
      </c>
      <c r="D23" s="852">
        <v>0.75</v>
      </c>
      <c r="E23" s="180" t="s">
        <v>556</v>
      </c>
      <c r="F23" s="414">
        <v>1</v>
      </c>
      <c r="G23" s="180"/>
      <c r="H23" s="414"/>
      <c r="I23" s="883">
        <f t="shared" si="0"/>
        <v>0.75</v>
      </c>
      <c r="J23" s="877"/>
      <c r="K23" s="875"/>
      <c r="L23" s="875"/>
      <c r="M23" s="311"/>
      <c r="N23" s="451"/>
      <c r="O23" s="311"/>
      <c r="P23" s="887"/>
      <c r="Q23" s="311"/>
      <c r="R23" s="311"/>
      <c r="S23" s="311"/>
      <c r="T23" s="875"/>
      <c r="U23" s="880"/>
      <c r="V23" s="877"/>
      <c r="W23" s="875"/>
      <c r="X23" s="875"/>
      <c r="Y23" s="882"/>
      <c r="Z23" s="864"/>
    </row>
    <row r="24" spans="1:26" x14ac:dyDescent="0.3">
      <c r="A24" s="183">
        <v>60</v>
      </c>
      <c r="B24" s="180" t="s">
        <v>616</v>
      </c>
      <c r="C24" s="183" t="s">
        <v>2747</v>
      </c>
      <c r="D24" s="852">
        <v>0.25</v>
      </c>
      <c r="E24" s="180" t="s">
        <v>556</v>
      </c>
      <c r="F24" s="414">
        <v>1</v>
      </c>
      <c r="G24" s="180"/>
      <c r="H24" s="414"/>
      <c r="I24" s="883">
        <f t="shared" si="0"/>
        <v>0.25</v>
      </c>
      <c r="J24" s="877"/>
      <c r="K24" s="875"/>
      <c r="L24" s="875"/>
      <c r="M24" s="311"/>
      <c r="N24" s="872"/>
      <c r="O24" s="311"/>
      <c r="P24" s="888"/>
      <c r="Q24" s="311"/>
      <c r="R24" s="889"/>
      <c r="S24" s="311"/>
      <c r="T24" s="875"/>
      <c r="U24" s="880"/>
      <c r="V24" s="877"/>
      <c r="W24" s="875"/>
      <c r="X24" s="875"/>
      <c r="Y24" s="890"/>
      <c r="Z24" s="864"/>
    </row>
    <row r="25" spans="1:26" x14ac:dyDescent="0.3">
      <c r="A25" s="217">
        <v>70</v>
      </c>
      <c r="B25" s="180" t="s">
        <v>557</v>
      </c>
      <c r="C25" s="414" t="s">
        <v>2745</v>
      </c>
      <c r="D25" s="241">
        <v>0.06</v>
      </c>
      <c r="E25" s="183" t="s">
        <v>556</v>
      </c>
      <c r="F25" s="414">
        <v>1</v>
      </c>
      <c r="G25" s="180"/>
      <c r="H25" s="414"/>
      <c r="I25" s="883">
        <f t="shared" si="0"/>
        <v>0.06</v>
      </c>
      <c r="J25" s="877"/>
      <c r="K25" s="875"/>
      <c r="L25" s="875"/>
      <c r="M25" s="432"/>
      <c r="N25" s="432"/>
      <c r="O25" s="432"/>
      <c r="P25" s="432"/>
      <c r="Q25" s="432"/>
      <c r="R25" s="432"/>
      <c r="S25" s="432"/>
      <c r="T25" s="432"/>
      <c r="U25" s="432"/>
      <c r="V25" s="432"/>
      <c r="W25" s="432"/>
      <c r="X25" s="432"/>
    </row>
    <row r="26" spans="1:26" s="900" customFormat="1" ht="15" customHeight="1" x14ac:dyDescent="0.3">
      <c r="A26" s="891">
        <v>80</v>
      </c>
      <c r="B26" s="892" t="s">
        <v>559</v>
      </c>
      <c r="C26" s="893" t="s">
        <v>2748</v>
      </c>
      <c r="D26" s="246">
        <v>0.75</v>
      </c>
      <c r="E26" s="894" t="s">
        <v>556</v>
      </c>
      <c r="F26" s="234">
        <v>1</v>
      </c>
      <c r="G26" s="892"/>
      <c r="H26" s="235"/>
      <c r="I26" s="895">
        <f t="shared" si="0"/>
        <v>0.75</v>
      </c>
      <c r="J26" s="896"/>
      <c r="K26" s="897"/>
      <c r="L26" s="897"/>
      <c r="M26" s="898"/>
      <c r="N26" s="899"/>
    </row>
    <row r="27" spans="1:26" s="900" customFormat="1" ht="15" customHeight="1" x14ac:dyDescent="0.3">
      <c r="A27" s="891">
        <v>90</v>
      </c>
      <c r="B27" s="892" t="s">
        <v>616</v>
      </c>
      <c r="C27" s="232" t="s">
        <v>2747</v>
      </c>
      <c r="D27" s="901">
        <v>0.25</v>
      </c>
      <c r="E27" s="892" t="s">
        <v>556</v>
      </c>
      <c r="F27" s="234">
        <v>1</v>
      </c>
      <c r="G27" s="892"/>
      <c r="H27" s="234"/>
      <c r="I27" s="895">
        <f t="shared" si="0"/>
        <v>0.25</v>
      </c>
      <c r="J27" s="896"/>
      <c r="K27" s="897"/>
      <c r="L27" s="897"/>
      <c r="M27" s="898"/>
      <c r="N27" s="899"/>
    </row>
    <row r="28" spans="1:26" s="900" customFormat="1" ht="15" customHeight="1" x14ac:dyDescent="0.3">
      <c r="A28" s="902"/>
      <c r="B28" s="902"/>
      <c r="C28" s="902"/>
      <c r="D28" s="902"/>
      <c r="E28" s="902"/>
      <c r="F28" s="902"/>
      <c r="G28" s="902"/>
      <c r="H28" s="903" t="s">
        <v>547</v>
      </c>
      <c r="I28" s="904">
        <f>SUM(I19:I27)</f>
        <v>3.6145999999999998</v>
      </c>
      <c r="M28" s="898"/>
    </row>
    <row r="29" spans="1:26" s="900" customFormat="1" ht="15" customHeight="1" x14ac:dyDescent="0.3">
      <c r="M29" s="898"/>
    </row>
    <row r="30" spans="1:26" s="900" customFormat="1" ht="15" customHeight="1" x14ac:dyDescent="0.3">
      <c r="A30" s="905" t="s">
        <v>544</v>
      </c>
      <c r="B30" s="905" t="s">
        <v>566</v>
      </c>
      <c r="C30" s="905" t="s">
        <v>549</v>
      </c>
      <c r="D30" s="905" t="s">
        <v>550</v>
      </c>
      <c r="E30" s="905" t="s">
        <v>567</v>
      </c>
      <c r="F30" s="905" t="s">
        <v>568</v>
      </c>
      <c r="G30" s="905" t="s">
        <v>569</v>
      </c>
      <c r="H30" s="905" t="s">
        <v>570</v>
      </c>
      <c r="I30" s="905" t="s">
        <v>28</v>
      </c>
      <c r="J30" s="905" t="s">
        <v>547</v>
      </c>
      <c r="M30" s="898"/>
    </row>
    <row r="31" spans="1:26" s="900" customFormat="1" ht="15" customHeight="1" x14ac:dyDescent="0.3">
      <c r="A31" s="232">
        <v>10</v>
      </c>
      <c r="B31" s="225" t="s">
        <v>1375</v>
      </c>
      <c r="C31" s="232"/>
      <c r="D31" s="906">
        <v>0.28999999999999998</v>
      </c>
      <c r="E31" s="232">
        <v>8</v>
      </c>
      <c r="F31" s="907" t="s">
        <v>573</v>
      </c>
      <c r="G31" s="232">
        <v>45</v>
      </c>
      <c r="H31" s="234" t="s">
        <v>573</v>
      </c>
      <c r="I31" s="908">
        <v>1</v>
      </c>
      <c r="J31" s="909">
        <f>I31*D31</f>
        <v>0.28999999999999998</v>
      </c>
      <c r="M31" s="898"/>
    </row>
    <row r="32" spans="1:26" s="900" customFormat="1" ht="15" customHeight="1" x14ac:dyDescent="0.3">
      <c r="A32" s="232">
        <v>20</v>
      </c>
      <c r="B32" s="225" t="s">
        <v>1375</v>
      </c>
      <c r="C32" s="891"/>
      <c r="D32" s="895">
        <v>0.26</v>
      </c>
      <c r="E32" s="891">
        <v>8</v>
      </c>
      <c r="F32" s="891" t="s">
        <v>573</v>
      </c>
      <c r="G32" s="891">
        <v>40</v>
      </c>
      <c r="H32" s="891" t="s">
        <v>573</v>
      </c>
      <c r="I32" s="910">
        <v>1</v>
      </c>
      <c r="J32" s="909">
        <f>I32*D32</f>
        <v>0.26</v>
      </c>
    </row>
    <row r="33" spans="1:13" s="900" customFormat="1" ht="15" customHeight="1" x14ac:dyDescent="0.3">
      <c r="A33" s="891">
        <v>30</v>
      </c>
      <c r="B33" s="911" t="s">
        <v>618</v>
      </c>
      <c r="C33" s="232"/>
      <c r="D33" s="906">
        <v>0.04</v>
      </c>
      <c r="E33" s="232">
        <v>8</v>
      </c>
      <c r="F33" s="912" t="s">
        <v>573</v>
      </c>
      <c r="G33" s="232"/>
      <c r="H33" s="234"/>
      <c r="I33" s="908">
        <v>2</v>
      </c>
      <c r="J33" s="909">
        <f>I33*D33</f>
        <v>0.08</v>
      </c>
      <c r="M33" s="898"/>
    </row>
    <row r="34" spans="1:13" s="900" customFormat="1" ht="15" customHeight="1" x14ac:dyDescent="0.3">
      <c r="A34" s="232">
        <v>40</v>
      </c>
      <c r="B34" s="911" t="s">
        <v>574</v>
      </c>
      <c r="C34" s="232"/>
      <c r="D34" s="906">
        <v>0.01</v>
      </c>
      <c r="E34" s="232">
        <v>8</v>
      </c>
      <c r="F34" s="912" t="s">
        <v>573</v>
      </c>
      <c r="G34" s="891"/>
      <c r="H34" s="891"/>
      <c r="I34" s="910">
        <v>8</v>
      </c>
      <c r="J34" s="909">
        <f>I34*D34</f>
        <v>0.08</v>
      </c>
      <c r="M34" s="898"/>
    </row>
    <row r="35" spans="1:13" s="900" customFormat="1" ht="15" customHeight="1" x14ac:dyDescent="0.3">
      <c r="A35" s="902"/>
      <c r="B35" s="902"/>
      <c r="C35" s="902"/>
      <c r="D35" s="902"/>
      <c r="E35" s="902"/>
      <c r="F35" s="902"/>
      <c r="G35" s="902"/>
      <c r="H35" s="902"/>
      <c r="I35" s="913" t="s">
        <v>547</v>
      </c>
      <c r="J35" s="914">
        <f>SUM(J31:J34)</f>
        <v>0.71</v>
      </c>
      <c r="M35" s="898"/>
    </row>
    <row r="36" spans="1:13" s="900" customFormat="1" ht="15" customHeight="1" x14ac:dyDescent="0.3">
      <c r="H36" s="915"/>
      <c r="I36" s="916"/>
      <c r="M36" s="898"/>
    </row>
    <row r="37" spans="1:13" s="900" customFormat="1" ht="15" customHeight="1" x14ac:dyDescent="0.3">
      <c r="A37" s="905" t="s">
        <v>544</v>
      </c>
      <c r="B37" s="905" t="s">
        <v>6</v>
      </c>
      <c r="C37" s="905" t="s">
        <v>549</v>
      </c>
      <c r="D37" s="905" t="s">
        <v>550</v>
      </c>
      <c r="E37" s="905" t="s">
        <v>551</v>
      </c>
      <c r="F37" s="905" t="s">
        <v>28</v>
      </c>
      <c r="G37" s="905" t="s">
        <v>691</v>
      </c>
      <c r="H37" s="905" t="s">
        <v>736</v>
      </c>
      <c r="I37" s="905" t="s">
        <v>547</v>
      </c>
      <c r="J37" s="902"/>
      <c r="M37" s="898"/>
    </row>
    <row r="38" spans="1:13" s="900" customFormat="1" ht="15" customHeight="1" x14ac:dyDescent="0.3">
      <c r="A38" s="232">
        <v>10</v>
      </c>
      <c r="B38" s="232" t="s">
        <v>2749</v>
      </c>
      <c r="C38" s="232" t="s">
        <v>2750</v>
      </c>
      <c r="D38" s="909">
        <v>500</v>
      </c>
      <c r="E38" s="232" t="s">
        <v>695</v>
      </c>
      <c r="F38" s="891">
        <v>4</v>
      </c>
      <c r="G38" s="232">
        <v>3000</v>
      </c>
      <c r="H38" s="232">
        <v>1</v>
      </c>
      <c r="I38" s="917">
        <f>D38*F38/G38</f>
        <v>0.66666666666666663</v>
      </c>
      <c r="M38" s="898"/>
    </row>
    <row r="39" spans="1:13" s="900" customFormat="1" ht="15" customHeight="1" x14ac:dyDescent="0.3">
      <c r="A39" s="902"/>
      <c r="B39" s="902"/>
      <c r="C39" s="902"/>
      <c r="D39" s="902"/>
      <c r="E39" s="902"/>
      <c r="F39" s="902"/>
      <c r="G39" s="902"/>
      <c r="H39" s="913" t="s">
        <v>547</v>
      </c>
      <c r="I39" s="914">
        <f>I38</f>
        <v>0.66666666666666663</v>
      </c>
      <c r="J39" s="902"/>
    </row>
  </sheetData>
  <pageMargins left="0.7" right="0.7" top="0.75" bottom="0.75" header="0.3" footer="0.3"/>
  <pageSetup paperSize="9" scale="56" fitToHeight="0" orientation="landscape" r:id="rId1"/>
</worksheet>
</file>

<file path=xl/worksheets/sheet3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1"/>
  <sheetViews>
    <sheetView showGridLines="0" workbookViewId="0"/>
  </sheetViews>
  <sheetFormatPr defaultColWidth="11.5546875" defaultRowHeight="14.4" x14ac:dyDescent="0.3"/>
  <cols>
    <col min="2" max="2" width="33.44140625" customWidth="1"/>
    <col min="13" max="13" width="15.33203125" customWidth="1"/>
    <col min="14" max="14" width="15.44140625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N10</f>
        <v>305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2737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450</v>
      </c>
      <c r="D4" s="837" t="s">
        <v>541</v>
      </c>
      <c r="J4" s="837" t="s">
        <v>538</v>
      </c>
      <c r="M4" s="837" t="s">
        <v>539</v>
      </c>
      <c r="N4" s="164">
        <f>N2*N1</f>
        <v>610</v>
      </c>
    </row>
    <row r="5" spans="1:14" x14ac:dyDescent="0.3">
      <c r="A5" s="837" t="s">
        <v>537</v>
      </c>
      <c r="B5" s="166" t="s">
        <v>449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256" t="s">
        <v>2751</v>
      </c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x14ac:dyDescent="0.3">
      <c r="A10" s="168">
        <v>10</v>
      </c>
      <c r="B10" s="225" t="s">
        <v>2751</v>
      </c>
      <c r="C10" s="168" t="s">
        <v>450</v>
      </c>
      <c r="D10" s="170">
        <v>305</v>
      </c>
      <c r="E10" s="168"/>
      <c r="F10" s="168"/>
      <c r="G10" s="168"/>
      <c r="H10" s="219"/>
      <c r="I10" s="220"/>
      <c r="J10" s="221"/>
      <c r="K10" s="219"/>
      <c r="L10" s="179"/>
      <c r="M10" s="222">
        <v>1</v>
      </c>
      <c r="N10" s="223">
        <f>M10*D10</f>
        <v>305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N10</f>
        <v>305</v>
      </c>
    </row>
  </sheetData>
  <pageMargins left="0.7" right="0.7" top="0.75" bottom="0.75" header="0.3" footer="0.3"/>
  <pageSetup paperSize="9" scale="68" orientation="landscape" r:id="rId1"/>
</worksheet>
</file>

<file path=xl/worksheets/sheet3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1"/>
  <sheetViews>
    <sheetView showGridLines="0" workbookViewId="0"/>
  </sheetViews>
  <sheetFormatPr defaultColWidth="11.44140625" defaultRowHeight="14.4" x14ac:dyDescent="0.3"/>
  <cols>
    <col min="2" max="2" width="23.6640625" customWidth="1"/>
    <col min="3" max="3" width="23.88671875" customWidth="1"/>
    <col min="13" max="13" width="13.6640625" bestFit="1" customWidth="1"/>
    <col min="14" max="14" width="15.44140625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</f>
        <v>25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2737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452</v>
      </c>
      <c r="D4" s="837" t="s">
        <v>541</v>
      </c>
      <c r="J4" s="837" t="s">
        <v>538</v>
      </c>
      <c r="M4" s="837" t="s">
        <v>539</v>
      </c>
      <c r="N4" s="164">
        <f>N1*N2</f>
        <v>50</v>
      </c>
    </row>
    <row r="5" spans="1:14" x14ac:dyDescent="0.3">
      <c r="A5" s="837" t="s">
        <v>537</v>
      </c>
      <c r="B5" s="166" t="s">
        <v>451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/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225" t="s">
        <v>2752</v>
      </c>
      <c r="C10" s="218" t="s">
        <v>2753</v>
      </c>
      <c r="D10" s="170">
        <v>25</v>
      </c>
      <c r="E10" s="168"/>
      <c r="F10" s="168"/>
      <c r="G10" s="168"/>
      <c r="H10" s="219"/>
      <c r="I10" s="220"/>
      <c r="J10" s="221"/>
      <c r="K10" s="219"/>
      <c r="L10" s="219"/>
      <c r="M10" s="222">
        <v>1</v>
      </c>
      <c r="N10" s="223">
        <f>M10*D10</f>
        <v>25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N10</f>
        <v>25</v>
      </c>
    </row>
  </sheetData>
  <pageMargins left="0.7" right="0.7" top="0.75" bottom="0.75" header="0.3" footer="0.3"/>
  <pageSetup paperSize="9" scale="68" orientation="landscape" r:id="rId1"/>
</worksheet>
</file>

<file path=xl/worksheets/sheet3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94"/>
  <sheetViews>
    <sheetView showGridLines="0" workbookViewId="0"/>
  </sheetViews>
  <sheetFormatPr defaultColWidth="11.44140625" defaultRowHeight="14.4" x14ac:dyDescent="0.3"/>
  <cols>
    <col min="2" max="2" width="22" customWidth="1"/>
    <col min="3" max="3" width="33.33203125" customWidth="1"/>
    <col min="7" max="7" width="14.88671875" customWidth="1"/>
    <col min="9" max="9" width="19.33203125" customWidth="1"/>
    <col min="13" max="13" width="13.6640625" bestFit="1" customWidth="1"/>
    <col min="14" max="14" width="15.44140625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N11+I16</f>
        <v>2.6553292000000002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2737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2754</v>
      </c>
      <c r="D4" s="837" t="s">
        <v>541</v>
      </c>
      <c r="J4" s="837" t="s">
        <v>538</v>
      </c>
      <c r="M4" s="837" t="s">
        <v>539</v>
      </c>
      <c r="N4" s="164">
        <f>N2*N1</f>
        <v>5.3106584000000003</v>
      </c>
    </row>
    <row r="5" spans="1:14" x14ac:dyDescent="0.3">
      <c r="A5" s="837" t="s">
        <v>537</v>
      </c>
      <c r="B5" s="166" t="s">
        <v>453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/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606</v>
      </c>
      <c r="C10" s="494" t="s">
        <v>2755</v>
      </c>
      <c r="D10" s="170">
        <v>2.25</v>
      </c>
      <c r="E10" s="168">
        <v>42</v>
      </c>
      <c r="F10" s="168" t="s">
        <v>573</v>
      </c>
      <c r="G10" s="168">
        <v>45</v>
      </c>
      <c r="H10" s="219" t="s">
        <v>573</v>
      </c>
      <c r="I10" s="267" t="s">
        <v>2756</v>
      </c>
      <c r="J10" s="220">
        <v>1.89E-3</v>
      </c>
      <c r="K10" s="228">
        <v>4.0000000000000001E-3</v>
      </c>
      <c r="L10" s="179">
        <v>7860</v>
      </c>
      <c r="M10" s="222">
        <v>2</v>
      </c>
      <c r="N10" s="223">
        <f>L10*K10*J10*D10*M10</f>
        <v>0.2673972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N10</f>
        <v>0.2673972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84" t="s">
        <v>699</v>
      </c>
      <c r="D14" s="170">
        <v>1.3</v>
      </c>
      <c r="E14" s="168" t="s">
        <v>556</v>
      </c>
      <c r="F14" s="168">
        <v>1</v>
      </c>
      <c r="G14" s="180"/>
      <c r="H14" s="168">
        <v>1</v>
      </c>
      <c r="I14" s="170">
        <f>H14*F14*D14</f>
        <v>1.3</v>
      </c>
    </row>
    <row r="15" spans="1:14" ht="28.8" x14ac:dyDescent="0.3">
      <c r="A15" s="168">
        <v>20</v>
      </c>
      <c r="B15" s="171" t="s">
        <v>700</v>
      </c>
      <c r="C15" s="218"/>
      <c r="D15" s="734">
        <v>0.01</v>
      </c>
      <c r="E15" s="180" t="s">
        <v>593</v>
      </c>
      <c r="F15" s="316">
        <f>15.4922+2.64</f>
        <v>18.132200000000001</v>
      </c>
      <c r="G15" s="180" t="s">
        <v>2757</v>
      </c>
      <c r="H15" s="168">
        <v>6</v>
      </c>
      <c r="I15" s="170">
        <f>H15*F15*D15</f>
        <v>1.0879320000000001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840" t="s">
        <v>547</v>
      </c>
      <c r="I16" s="841">
        <f>SUM(I14:I15)</f>
        <v>2.3879320000000002</v>
      </c>
      <c r="J16" s="178"/>
      <c r="K16" s="178"/>
      <c r="L16" s="178"/>
      <c r="M16" s="178"/>
      <c r="N16" s="178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</sheetData>
  <pageMargins left="0.7" right="0.7" top="0.75" bottom="0.75" header="0.3" footer="0.3"/>
  <pageSetup paperSize="9" scale="62" orientation="landscape" r:id="rId1"/>
  <colBreaks count="1" manualBreakCount="1">
    <brk id="18" max="1048575" man="1"/>
  </colBreaks>
</worksheet>
</file>

<file path=xl/worksheets/sheet3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O34"/>
  <sheetViews>
    <sheetView showGridLines="0" workbookViewId="0"/>
  </sheetViews>
  <sheetFormatPr defaultColWidth="11.44140625" defaultRowHeight="14.4" x14ac:dyDescent="0.3"/>
  <cols>
    <col min="2" max="2" width="31.5546875" customWidth="1"/>
    <col min="3" max="3" width="56" customWidth="1"/>
    <col min="8" max="8" width="15.88671875" bestFit="1" customWidth="1"/>
    <col min="13" max="13" width="13.6640625" bestFit="1" customWidth="1"/>
    <col min="14" max="14" width="15.44140625" customWidth="1"/>
  </cols>
  <sheetData>
    <row r="1" spans="1:15" x14ac:dyDescent="0.3">
      <c r="A1" s="919" t="s">
        <v>523</v>
      </c>
      <c r="B1" s="161" t="s">
        <v>524</v>
      </c>
      <c r="J1" s="919" t="s">
        <v>528</v>
      </c>
      <c r="K1" s="163">
        <v>81</v>
      </c>
      <c r="M1" s="919" t="s">
        <v>531</v>
      </c>
      <c r="N1" s="164">
        <f>E13+I24+I34+J30</f>
        <v>20.017058968529998</v>
      </c>
    </row>
    <row r="2" spans="1:15" x14ac:dyDescent="0.3">
      <c r="A2" s="919" t="s">
        <v>532</v>
      </c>
      <c r="B2" s="161" t="s">
        <v>411</v>
      </c>
      <c r="M2" s="919" t="s">
        <v>533</v>
      </c>
      <c r="N2" s="165">
        <v>2</v>
      </c>
    </row>
    <row r="3" spans="1:15" x14ac:dyDescent="0.3">
      <c r="A3" s="919" t="s">
        <v>534</v>
      </c>
      <c r="B3" t="s">
        <v>2758</v>
      </c>
      <c r="J3" s="919" t="s">
        <v>536</v>
      </c>
    </row>
    <row r="4" spans="1:15" x14ac:dyDescent="0.3">
      <c r="A4" s="919" t="s">
        <v>537</v>
      </c>
      <c r="B4" s="166" t="s">
        <v>454</v>
      </c>
      <c r="J4" s="919" t="s">
        <v>538</v>
      </c>
      <c r="M4" s="919" t="s">
        <v>539</v>
      </c>
      <c r="N4" s="164">
        <f>N1*N2</f>
        <v>40.034117937059996</v>
      </c>
    </row>
    <row r="5" spans="1:15" x14ac:dyDescent="0.3">
      <c r="A5" s="919" t="s">
        <v>540</v>
      </c>
      <c r="B5" s="161" t="s">
        <v>36</v>
      </c>
      <c r="J5" s="919" t="s">
        <v>541</v>
      </c>
    </row>
    <row r="6" spans="1:15" x14ac:dyDescent="0.3">
      <c r="A6" s="919" t="s">
        <v>542</v>
      </c>
      <c r="B6" s="161" t="s">
        <v>2759</v>
      </c>
    </row>
    <row r="8" spans="1:15" x14ac:dyDescent="0.3">
      <c r="A8" s="920" t="s">
        <v>544</v>
      </c>
      <c r="B8" s="920" t="s">
        <v>545</v>
      </c>
      <c r="C8" s="920" t="s">
        <v>546</v>
      </c>
      <c r="D8" s="920" t="s">
        <v>28</v>
      </c>
      <c r="E8" s="920" t="s">
        <v>547</v>
      </c>
    </row>
    <row r="9" spans="1:15" x14ac:dyDescent="0.3">
      <c r="A9" s="168">
        <v>10</v>
      </c>
      <c r="B9" s="166" t="s">
        <v>2760</v>
      </c>
      <c r="C9" s="170">
        <f>'SU 06001'!N1</f>
        <v>5.1857314000000008</v>
      </c>
      <c r="D9" s="171">
        <v>1</v>
      </c>
      <c r="E9" s="223">
        <f>C9*D9</f>
        <v>5.1857314000000008</v>
      </c>
    </row>
    <row r="10" spans="1:15" x14ac:dyDescent="0.3">
      <c r="A10" s="168">
        <v>20</v>
      </c>
      <c r="B10" s="169" t="s">
        <v>458</v>
      </c>
      <c r="C10" s="170">
        <f>'SU 06002'!N1</f>
        <v>1.9843305285300001</v>
      </c>
      <c r="D10" s="171">
        <v>1</v>
      </c>
      <c r="E10" s="223">
        <f>C10*D10</f>
        <v>1.9843305285300001</v>
      </c>
      <c r="H10" s="173"/>
      <c r="I10" s="174"/>
      <c r="J10" s="174"/>
      <c r="K10" s="175"/>
      <c r="L10" s="174"/>
      <c r="M10" s="174"/>
      <c r="N10" s="174"/>
      <c r="O10" s="174"/>
    </row>
    <row r="11" spans="1:15" x14ac:dyDescent="0.3">
      <c r="A11" s="168">
        <v>30</v>
      </c>
      <c r="B11" s="169" t="s">
        <v>460</v>
      </c>
      <c r="C11" s="170">
        <f>'SU 06003'!N1</f>
        <v>1.32</v>
      </c>
      <c r="D11" s="171">
        <v>2</v>
      </c>
      <c r="E11" s="223">
        <f>C11*D11</f>
        <v>2.64</v>
      </c>
    </row>
    <row r="12" spans="1:15" x14ac:dyDescent="0.3">
      <c r="A12" s="168">
        <v>40</v>
      </c>
      <c r="B12" s="168" t="s">
        <v>2761</v>
      </c>
      <c r="C12" s="223">
        <f>'SU 06004'!N1</f>
        <v>3.12191704</v>
      </c>
      <c r="D12" s="171">
        <v>1</v>
      </c>
      <c r="E12" s="223">
        <f>C12*D12</f>
        <v>3.12191704</v>
      </c>
    </row>
    <row r="13" spans="1:15" x14ac:dyDescent="0.3">
      <c r="D13" s="836" t="s">
        <v>547</v>
      </c>
      <c r="E13" s="921">
        <f>E9+E10+E11+E12</f>
        <v>12.93197896853</v>
      </c>
    </row>
    <row r="15" spans="1:15" x14ac:dyDescent="0.3">
      <c r="A15" s="920" t="s">
        <v>544</v>
      </c>
      <c r="B15" s="920" t="s">
        <v>548</v>
      </c>
      <c r="C15" s="920" t="s">
        <v>549</v>
      </c>
      <c r="D15" s="920" t="s">
        <v>550</v>
      </c>
      <c r="E15" s="920" t="s">
        <v>551</v>
      </c>
      <c r="F15" s="920" t="s">
        <v>28</v>
      </c>
      <c r="G15" s="920" t="s">
        <v>552</v>
      </c>
      <c r="H15" s="920" t="s">
        <v>553</v>
      </c>
      <c r="I15" s="920" t="s">
        <v>547</v>
      </c>
      <c r="J15" s="178"/>
      <c r="K15" s="178"/>
      <c r="L15" s="178"/>
      <c r="M15" s="178"/>
      <c r="N15" s="178"/>
    </row>
    <row r="16" spans="1:15" x14ac:dyDescent="0.3">
      <c r="A16" s="179">
        <v>10</v>
      </c>
      <c r="B16" s="171" t="s">
        <v>650</v>
      </c>
      <c r="C16" s="171" t="s">
        <v>2762</v>
      </c>
      <c r="D16" s="170">
        <v>0.15</v>
      </c>
      <c r="E16" s="168" t="s">
        <v>593</v>
      </c>
      <c r="F16" s="316">
        <f>2*4.712</f>
        <v>9.4239999999999995</v>
      </c>
      <c r="G16" s="180"/>
      <c r="H16" s="171"/>
      <c r="I16" s="922">
        <f>D16*F16</f>
        <v>1.4136</v>
      </c>
    </row>
    <row r="17" spans="1:10" x14ac:dyDescent="0.3">
      <c r="A17" s="179">
        <v>20</v>
      </c>
      <c r="B17" s="180" t="s">
        <v>653</v>
      </c>
      <c r="C17" s="184" t="s">
        <v>2763</v>
      </c>
      <c r="D17" s="734">
        <v>5.25</v>
      </c>
      <c r="E17" s="168" t="s">
        <v>627</v>
      </c>
      <c r="F17">
        <v>8.0000000000000002E-3</v>
      </c>
      <c r="G17" s="180"/>
      <c r="H17" s="179"/>
      <c r="I17" s="922">
        <f t="shared" ref="I17:I23" si="0">D17*F17</f>
        <v>4.2000000000000003E-2</v>
      </c>
    </row>
    <row r="18" spans="1:10" x14ac:dyDescent="0.3">
      <c r="A18" s="179">
        <v>30</v>
      </c>
      <c r="B18" s="171" t="s">
        <v>650</v>
      </c>
      <c r="C18" s="171" t="s">
        <v>2764</v>
      </c>
      <c r="D18" s="170">
        <v>0.15</v>
      </c>
      <c r="E18" s="168" t="s">
        <v>593</v>
      </c>
      <c r="F18" s="168">
        <v>6.28</v>
      </c>
      <c r="G18" s="289" t="s">
        <v>679</v>
      </c>
      <c r="H18" s="168">
        <v>2</v>
      </c>
      <c r="I18" s="922">
        <f>D18*F18*H18</f>
        <v>1.8839999999999999</v>
      </c>
    </row>
    <row r="19" spans="1:10" x14ac:dyDescent="0.3">
      <c r="A19" s="179">
        <v>40</v>
      </c>
      <c r="B19" s="180" t="s">
        <v>954</v>
      </c>
      <c r="C19" s="179" t="s">
        <v>2765</v>
      </c>
      <c r="D19" s="923">
        <v>0.02</v>
      </c>
      <c r="E19" s="180" t="s">
        <v>852</v>
      </c>
      <c r="F19" s="179">
        <v>2.4E-2</v>
      </c>
      <c r="G19" s="180"/>
      <c r="H19" s="179"/>
      <c r="I19" s="922">
        <f t="shared" si="0"/>
        <v>4.8000000000000001E-4</v>
      </c>
    </row>
    <row r="20" spans="1:10" x14ac:dyDescent="0.3">
      <c r="A20" s="179">
        <v>50</v>
      </c>
      <c r="B20" s="285" t="s">
        <v>760</v>
      </c>
      <c r="C20" s="171" t="s">
        <v>2766</v>
      </c>
      <c r="D20" s="323">
        <v>0.1875</v>
      </c>
      <c r="E20" s="168" t="s">
        <v>556</v>
      </c>
      <c r="F20" s="168">
        <v>2</v>
      </c>
      <c r="G20" s="168"/>
      <c r="H20" s="168"/>
      <c r="I20" s="922">
        <f t="shared" si="0"/>
        <v>0.375</v>
      </c>
    </row>
    <row r="21" spans="1:10" x14ac:dyDescent="0.3">
      <c r="A21" s="179">
        <v>60</v>
      </c>
      <c r="B21" s="180" t="s">
        <v>557</v>
      </c>
      <c r="C21" s="171" t="s">
        <v>2767</v>
      </c>
      <c r="D21" s="323">
        <v>0.06</v>
      </c>
      <c r="E21" s="168" t="s">
        <v>556</v>
      </c>
      <c r="F21" s="316">
        <v>1</v>
      </c>
      <c r="G21" s="180"/>
      <c r="H21" s="171"/>
      <c r="I21" s="922">
        <f t="shared" si="0"/>
        <v>0.06</v>
      </c>
      <c r="J21" s="178"/>
    </row>
    <row r="22" spans="1:10" x14ac:dyDescent="0.3">
      <c r="A22" s="179">
        <v>70</v>
      </c>
      <c r="B22" s="180" t="s">
        <v>559</v>
      </c>
      <c r="C22" s="168" t="s">
        <v>2768</v>
      </c>
      <c r="D22" s="243">
        <v>0.75</v>
      </c>
      <c r="E22" s="180" t="s">
        <v>556</v>
      </c>
      <c r="F22" s="316">
        <v>1</v>
      </c>
      <c r="G22" s="180"/>
      <c r="H22" s="171"/>
      <c r="I22" s="922">
        <f t="shared" si="0"/>
        <v>0.75</v>
      </c>
    </row>
    <row r="23" spans="1:10" x14ac:dyDescent="0.3">
      <c r="A23" s="179">
        <v>80</v>
      </c>
      <c r="B23" s="180" t="s">
        <v>616</v>
      </c>
      <c r="C23" s="168" t="s">
        <v>2769</v>
      </c>
      <c r="D23" s="243">
        <v>0.25</v>
      </c>
      <c r="E23" s="180" t="s">
        <v>556</v>
      </c>
      <c r="F23" s="316">
        <v>1</v>
      </c>
      <c r="G23" s="180"/>
      <c r="H23" s="171"/>
      <c r="I23" s="922">
        <f t="shared" si="0"/>
        <v>0.25</v>
      </c>
      <c r="J23" s="178"/>
    </row>
    <row r="24" spans="1:10" x14ac:dyDescent="0.3">
      <c r="A24" s="161"/>
      <c r="B24" s="352"/>
      <c r="C24" s="352"/>
      <c r="D24" s="924"/>
      <c r="E24" s="161"/>
      <c r="F24" s="161"/>
      <c r="G24" s="161"/>
      <c r="H24" s="836" t="s">
        <v>547</v>
      </c>
      <c r="I24" s="925">
        <f>SUM(I16:I23)</f>
        <v>4.77508</v>
      </c>
    </row>
    <row r="26" spans="1:10" x14ac:dyDescent="0.3">
      <c r="A26" s="920" t="s">
        <v>544</v>
      </c>
      <c r="B26" s="920" t="s">
        <v>566</v>
      </c>
      <c r="C26" s="920" t="s">
        <v>549</v>
      </c>
      <c r="D26" s="920" t="s">
        <v>550</v>
      </c>
      <c r="E26" s="920" t="s">
        <v>567</v>
      </c>
      <c r="F26" s="920" t="s">
        <v>568</v>
      </c>
      <c r="G26" s="920" t="s">
        <v>569</v>
      </c>
      <c r="H26" s="920" t="s">
        <v>570</v>
      </c>
      <c r="I26" s="920" t="s">
        <v>28</v>
      </c>
      <c r="J26" s="920" t="s">
        <v>547</v>
      </c>
    </row>
    <row r="27" spans="1:10" x14ac:dyDescent="0.3">
      <c r="A27" s="179">
        <v>10</v>
      </c>
      <c r="B27" s="244" t="s">
        <v>618</v>
      </c>
      <c r="C27" s="168"/>
      <c r="D27" s="186">
        <v>0.04</v>
      </c>
      <c r="E27" s="168">
        <v>8</v>
      </c>
      <c r="F27" s="245" t="s">
        <v>573</v>
      </c>
      <c r="G27" s="168"/>
      <c r="H27" s="171"/>
      <c r="I27" s="169">
        <v>1</v>
      </c>
      <c r="J27" s="170">
        <f>I27*D27</f>
        <v>0.04</v>
      </c>
    </row>
    <row r="28" spans="1:10" x14ac:dyDescent="0.3">
      <c r="A28" s="168">
        <v>20</v>
      </c>
      <c r="B28" s="244" t="s">
        <v>574</v>
      </c>
      <c r="C28" s="168"/>
      <c r="D28" s="186">
        <v>0.01</v>
      </c>
      <c r="E28" s="168">
        <v>8</v>
      </c>
      <c r="F28" s="245" t="s">
        <v>573</v>
      </c>
      <c r="G28" s="179"/>
      <c r="H28" s="179"/>
      <c r="I28" s="926">
        <v>1</v>
      </c>
      <c r="J28" s="170">
        <f>I28*D28</f>
        <v>0.01</v>
      </c>
    </row>
    <row r="29" spans="1:10" x14ac:dyDescent="0.3">
      <c r="A29" s="168">
        <v>30</v>
      </c>
      <c r="B29" s="225" t="s">
        <v>684</v>
      </c>
      <c r="C29" s="179" t="s">
        <v>2770</v>
      </c>
      <c r="D29" s="186">
        <v>0.26</v>
      </c>
      <c r="E29" s="168">
        <v>8</v>
      </c>
      <c r="F29" s="189" t="s">
        <v>573</v>
      </c>
      <c r="G29" s="168">
        <v>60</v>
      </c>
      <c r="H29" s="171" t="s">
        <v>573</v>
      </c>
      <c r="I29" s="169">
        <v>1</v>
      </c>
      <c r="J29" s="170">
        <f>I29*D29</f>
        <v>0.26</v>
      </c>
    </row>
    <row r="30" spans="1:10" x14ac:dyDescent="0.3">
      <c r="A30" s="178"/>
      <c r="B30" s="178"/>
      <c r="C30" s="178"/>
      <c r="D30" s="178"/>
      <c r="E30" s="178"/>
      <c r="F30" s="178"/>
      <c r="G30" s="178"/>
      <c r="H30" s="178"/>
      <c r="I30" s="834" t="s">
        <v>547</v>
      </c>
      <c r="J30" s="925">
        <f>SUM(J27:J29)</f>
        <v>0.31</v>
      </c>
    </row>
    <row r="31" spans="1:10" x14ac:dyDescent="0.3">
      <c r="A31" s="178"/>
      <c r="B31" s="178"/>
      <c r="C31" s="178"/>
      <c r="D31" s="178"/>
      <c r="E31" s="178"/>
      <c r="F31" s="178"/>
      <c r="G31" s="178"/>
      <c r="H31" s="178"/>
    </row>
    <row r="32" spans="1:10" x14ac:dyDescent="0.3">
      <c r="A32" s="920" t="s">
        <v>544</v>
      </c>
      <c r="B32" s="920" t="s">
        <v>6</v>
      </c>
      <c r="C32" s="920" t="s">
        <v>549</v>
      </c>
      <c r="D32" s="920" t="s">
        <v>550</v>
      </c>
      <c r="E32" s="920" t="s">
        <v>551</v>
      </c>
      <c r="F32" s="920" t="s">
        <v>28</v>
      </c>
      <c r="G32" s="920" t="s">
        <v>691</v>
      </c>
      <c r="H32" s="920" t="s">
        <v>736</v>
      </c>
      <c r="I32" s="920" t="s">
        <v>547</v>
      </c>
    </row>
    <row r="33" spans="1:9" x14ac:dyDescent="0.3">
      <c r="A33" s="168">
        <v>10</v>
      </c>
      <c r="B33" s="168" t="s">
        <v>2749</v>
      </c>
      <c r="C33" s="168" t="s">
        <v>2771</v>
      </c>
      <c r="D33" s="170">
        <v>500</v>
      </c>
      <c r="E33" s="168" t="s">
        <v>695</v>
      </c>
      <c r="F33" s="179">
        <v>12</v>
      </c>
      <c r="G33" s="168">
        <v>3000</v>
      </c>
      <c r="H33" s="168">
        <v>1</v>
      </c>
      <c r="I33" s="223">
        <f>D33*F33/G33</f>
        <v>2</v>
      </c>
    </row>
    <row r="34" spans="1:9" x14ac:dyDescent="0.3">
      <c r="A34" s="178"/>
      <c r="B34" s="178"/>
      <c r="C34" s="178"/>
      <c r="D34" s="178"/>
      <c r="E34" s="178"/>
      <c r="F34" s="178"/>
      <c r="G34" s="178"/>
      <c r="H34" s="836" t="s">
        <v>547</v>
      </c>
      <c r="I34" s="921">
        <f>I33</f>
        <v>2</v>
      </c>
    </row>
  </sheetData>
  <pageMargins left="0.7" right="0.7" top="0.75" bottom="0.75" header="0.3" footer="0.3"/>
  <pageSetup paperSize="9" scale="55" fitToHeight="0" orientation="landscape" r:id="rId1"/>
</worksheet>
</file>

<file path=xl/worksheets/sheet3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U192"/>
  <sheetViews>
    <sheetView showGridLines="0" workbookViewId="0"/>
  </sheetViews>
  <sheetFormatPr defaultColWidth="11.44140625" defaultRowHeight="14.4" x14ac:dyDescent="0.3"/>
  <cols>
    <col min="2" max="2" width="29" customWidth="1"/>
    <col min="3" max="3" width="33.5546875" customWidth="1"/>
    <col min="7" max="7" width="18" customWidth="1"/>
    <col min="9" max="9" width="24.33203125" customWidth="1"/>
    <col min="13" max="13" width="13.6640625" bestFit="1" customWidth="1"/>
    <col min="14" max="14" width="15.44140625" customWidth="1"/>
  </cols>
  <sheetData>
    <row r="1" spans="1:21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N11+I16</f>
        <v>5.1857314000000008</v>
      </c>
    </row>
    <row r="2" spans="1:21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21" x14ac:dyDescent="0.3">
      <c r="A3" s="837" t="s">
        <v>534</v>
      </c>
      <c r="B3" t="s">
        <v>2772</v>
      </c>
      <c r="D3" s="837" t="s">
        <v>538</v>
      </c>
      <c r="J3" s="837" t="s">
        <v>536</v>
      </c>
    </row>
    <row r="4" spans="1:21" x14ac:dyDescent="0.3">
      <c r="A4" s="837" t="s">
        <v>545</v>
      </c>
      <c r="B4" s="166" t="s">
        <v>2760</v>
      </c>
      <c r="D4" s="837" t="s">
        <v>541</v>
      </c>
      <c r="J4" s="837" t="s">
        <v>538</v>
      </c>
      <c r="M4" s="837" t="s">
        <v>539</v>
      </c>
      <c r="N4" s="164">
        <f>N1*N2</f>
        <v>10.371462800000002</v>
      </c>
    </row>
    <row r="5" spans="1:21" x14ac:dyDescent="0.3">
      <c r="A5" s="837" t="s">
        <v>537</v>
      </c>
      <c r="B5" s="166" t="s">
        <v>456</v>
      </c>
      <c r="J5" s="837" t="s">
        <v>541</v>
      </c>
    </row>
    <row r="6" spans="1:21" x14ac:dyDescent="0.3">
      <c r="A6" s="837" t="s">
        <v>540</v>
      </c>
      <c r="B6" s="161" t="s">
        <v>36</v>
      </c>
    </row>
    <row r="7" spans="1:21" x14ac:dyDescent="0.3">
      <c r="A7" s="837" t="s">
        <v>542</v>
      </c>
      <c r="B7" s="161"/>
    </row>
    <row r="9" spans="1:2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21" ht="28.8" x14ac:dyDescent="0.3">
      <c r="A10" s="168">
        <v>10</v>
      </c>
      <c r="B10" s="190" t="s">
        <v>606</v>
      </c>
      <c r="C10" s="218" t="s">
        <v>2773</v>
      </c>
      <c r="D10" s="170">
        <v>2.25</v>
      </c>
      <c r="E10" s="168">
        <v>162</v>
      </c>
      <c r="F10" s="168" t="s">
        <v>573</v>
      </c>
      <c r="G10" s="168">
        <v>36.229999999999997</v>
      </c>
      <c r="H10" s="219" t="s">
        <v>573</v>
      </c>
      <c r="I10" s="267" t="s">
        <v>2774</v>
      </c>
      <c r="J10" s="220">
        <v>5.8700000000000002E-3</v>
      </c>
      <c r="K10" s="222">
        <v>6.0000000000000001E-3</v>
      </c>
      <c r="L10" s="179">
        <v>7860</v>
      </c>
      <c r="M10" s="222">
        <v>2</v>
      </c>
      <c r="N10" s="223">
        <f>L10*J10*K10*M10*D10</f>
        <v>1.2457314000000002</v>
      </c>
    </row>
    <row r="11" spans="1:21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841">
        <f>N10</f>
        <v>1.2457314000000002</v>
      </c>
    </row>
    <row r="13" spans="1:2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21" ht="28.8" x14ac:dyDescent="0.3">
      <c r="A14" s="168">
        <v>10</v>
      </c>
      <c r="B14" s="180" t="s">
        <v>589</v>
      </c>
      <c r="C14" s="184" t="s">
        <v>2775</v>
      </c>
      <c r="D14" s="170">
        <v>1.3</v>
      </c>
      <c r="E14" s="168" t="s">
        <v>556</v>
      </c>
      <c r="F14" s="168">
        <v>1</v>
      </c>
      <c r="G14" s="180"/>
      <c r="H14" s="168">
        <v>1</v>
      </c>
      <c r="I14" s="170">
        <f>H14*F14*D14</f>
        <v>1.3</v>
      </c>
      <c r="J14" s="178"/>
      <c r="K14" s="178"/>
      <c r="L14" s="178"/>
      <c r="M14" s="178"/>
      <c r="N14" s="178"/>
    </row>
    <row r="15" spans="1:21" ht="28.8" x14ac:dyDescent="0.3">
      <c r="A15" s="168">
        <v>20</v>
      </c>
      <c r="B15" s="171" t="s">
        <v>700</v>
      </c>
      <c r="C15" s="218"/>
      <c r="D15" s="734">
        <v>0.01</v>
      </c>
      <c r="E15" s="180" t="s">
        <v>593</v>
      </c>
      <c r="F15" s="168">
        <f>34.9+9.1</f>
        <v>44</v>
      </c>
      <c r="G15" s="180" t="s">
        <v>2757</v>
      </c>
      <c r="H15" s="168">
        <v>6</v>
      </c>
      <c r="I15" s="170">
        <f>H15*F15*D15</f>
        <v>2.64</v>
      </c>
    </row>
    <row r="16" spans="1:21" x14ac:dyDescent="0.3">
      <c r="A16" s="178"/>
      <c r="B16" s="178"/>
      <c r="C16" s="178"/>
      <c r="D16" s="178"/>
      <c r="E16" s="178"/>
      <c r="F16" s="178"/>
      <c r="G16" s="178"/>
      <c r="H16" s="840" t="s">
        <v>547</v>
      </c>
      <c r="I16" s="841">
        <f>I14+I15</f>
        <v>3.9400000000000004</v>
      </c>
      <c r="J16" s="178"/>
      <c r="K16" s="178"/>
      <c r="L16" s="178"/>
      <c r="M16" s="178"/>
      <c r="N16" s="178"/>
      <c r="P16" s="178"/>
      <c r="Q16" s="178"/>
      <c r="R16" s="178"/>
      <c r="S16" s="178"/>
      <c r="T16" s="178"/>
      <c r="U16" s="178"/>
    </row>
    <row r="17" spans="8:9" x14ac:dyDescent="0.3">
      <c r="H17" s="326"/>
      <c r="I17" s="325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</sheetData>
  <pageMargins left="0.7" right="0.7" top="0.75" bottom="0.75" header="0.3" footer="0.3"/>
  <pageSetup paperSize="9" scale="58" fitToHeight="0" orientation="landscape" r:id="rId1"/>
</worksheet>
</file>

<file path=xl/worksheets/sheet3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U192"/>
  <sheetViews>
    <sheetView showGridLines="0" workbookViewId="0"/>
  </sheetViews>
  <sheetFormatPr defaultColWidth="11.44140625" defaultRowHeight="14.4" x14ac:dyDescent="0.3"/>
  <cols>
    <col min="2" max="2" width="29" customWidth="1"/>
    <col min="3" max="3" width="25.33203125" bestFit="1" customWidth="1"/>
    <col min="9" max="9" width="26.109375" customWidth="1"/>
    <col min="13" max="13" width="13.6640625" bestFit="1" customWidth="1"/>
    <col min="14" max="14" width="15.44140625" customWidth="1"/>
  </cols>
  <sheetData>
    <row r="1" spans="1:21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I17+N11</f>
        <v>1.9843305285300001</v>
      </c>
    </row>
    <row r="2" spans="1:21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21" x14ac:dyDescent="0.3">
      <c r="A3" s="837" t="s">
        <v>534</v>
      </c>
      <c r="B3" t="s">
        <v>2772</v>
      </c>
      <c r="D3" s="837" t="s">
        <v>538</v>
      </c>
      <c r="J3" s="837" t="s">
        <v>536</v>
      </c>
    </row>
    <row r="4" spans="1:21" x14ac:dyDescent="0.3">
      <c r="A4" s="837" t="s">
        <v>545</v>
      </c>
      <c r="B4" s="166" t="s">
        <v>458</v>
      </c>
      <c r="D4" s="837" t="s">
        <v>541</v>
      </c>
      <c r="J4" s="837" t="s">
        <v>538</v>
      </c>
      <c r="M4" s="837" t="s">
        <v>539</v>
      </c>
      <c r="N4" s="164">
        <f>N1*N2</f>
        <v>3.9686610570600003</v>
      </c>
    </row>
    <row r="5" spans="1:21" x14ac:dyDescent="0.3">
      <c r="A5" s="837" t="s">
        <v>537</v>
      </c>
      <c r="B5" s="166" t="s">
        <v>457</v>
      </c>
      <c r="J5" s="837" t="s">
        <v>541</v>
      </c>
    </row>
    <row r="6" spans="1:21" x14ac:dyDescent="0.3">
      <c r="A6" s="837" t="s">
        <v>540</v>
      </c>
      <c r="B6" s="161" t="s">
        <v>36</v>
      </c>
    </row>
    <row r="7" spans="1:21" x14ac:dyDescent="0.3">
      <c r="A7" s="837" t="s">
        <v>542</v>
      </c>
      <c r="B7" s="161" t="s">
        <v>2776</v>
      </c>
    </row>
    <row r="9" spans="1:2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21" x14ac:dyDescent="0.3">
      <c r="A10" s="168">
        <v>10</v>
      </c>
      <c r="B10" s="225" t="s">
        <v>606</v>
      </c>
      <c r="C10" s="218" t="s">
        <v>2777</v>
      </c>
      <c r="D10" s="170">
        <v>2.25</v>
      </c>
      <c r="E10" s="168">
        <v>11</v>
      </c>
      <c r="F10" s="168" t="s">
        <v>573</v>
      </c>
      <c r="G10" s="168"/>
      <c r="H10" s="219"/>
      <c r="I10" s="220" t="s">
        <v>2778</v>
      </c>
      <c r="J10" s="227">
        <f>3.14*(11*10^-3)^2</f>
        <v>3.7994E-4</v>
      </c>
      <c r="K10" s="227">
        <v>1.77E-2</v>
      </c>
      <c r="L10" s="179">
        <v>7860</v>
      </c>
      <c r="M10" s="222">
        <v>1</v>
      </c>
      <c r="N10" s="223">
        <f>M10*L10*K10*J10*D10</f>
        <v>0.11893052853000001</v>
      </c>
    </row>
    <row r="11" spans="1:21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N10</f>
        <v>0.11893052853000001</v>
      </c>
    </row>
    <row r="13" spans="1:2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21" ht="28.8" x14ac:dyDescent="0.3">
      <c r="A14" s="168">
        <v>10</v>
      </c>
      <c r="B14" s="180" t="s">
        <v>589</v>
      </c>
      <c r="C14" s="184" t="s">
        <v>2779</v>
      </c>
      <c r="D14" s="170">
        <v>1.3</v>
      </c>
      <c r="E14" s="168" t="s">
        <v>556</v>
      </c>
      <c r="F14" s="168">
        <v>1</v>
      </c>
      <c r="G14" s="180"/>
      <c r="H14" s="168"/>
      <c r="I14" s="170">
        <f>F14*D14</f>
        <v>1.3</v>
      </c>
    </row>
    <row r="15" spans="1:21" ht="28.8" x14ac:dyDescent="0.3">
      <c r="A15" s="168">
        <v>20</v>
      </c>
      <c r="B15" s="180" t="s">
        <v>609</v>
      </c>
      <c r="C15" s="184" t="s">
        <v>722</v>
      </c>
      <c r="D15" s="170">
        <v>0.04</v>
      </c>
      <c r="E15" s="180" t="s">
        <v>610</v>
      </c>
      <c r="F15" s="316">
        <v>1.7949999999999999</v>
      </c>
      <c r="G15" s="180" t="s">
        <v>2780</v>
      </c>
      <c r="H15" s="168">
        <v>3</v>
      </c>
      <c r="I15" s="170">
        <f>H15*F15*D15</f>
        <v>0.21540000000000001</v>
      </c>
    </row>
    <row r="16" spans="1:21" x14ac:dyDescent="0.3">
      <c r="A16" s="168">
        <v>30</v>
      </c>
      <c r="B16" s="171" t="s">
        <v>1612</v>
      </c>
      <c r="C16" s="168" t="s">
        <v>2781</v>
      </c>
      <c r="D16" s="323">
        <v>0.35</v>
      </c>
      <c r="E16" s="168" t="s">
        <v>843</v>
      </c>
      <c r="F16" s="168">
        <v>1</v>
      </c>
      <c r="G16" s="351"/>
      <c r="H16" s="179"/>
      <c r="I16" s="927">
        <f>D16</f>
        <v>0.35</v>
      </c>
      <c r="J16" s="178"/>
      <c r="K16" s="178"/>
      <c r="L16" s="178"/>
      <c r="M16" s="178"/>
      <c r="N16" s="178"/>
      <c r="P16" s="178"/>
      <c r="Q16" s="178"/>
      <c r="R16" s="178"/>
      <c r="S16" s="178"/>
      <c r="T16" s="178"/>
      <c r="U16" s="178"/>
    </row>
    <row r="17" spans="8:9" x14ac:dyDescent="0.3">
      <c r="H17" s="840" t="s">
        <v>547</v>
      </c>
      <c r="I17" s="841">
        <f>I14+I15+I16</f>
        <v>1.8654000000000002</v>
      </c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</sheetData>
  <pageMargins left="0.7" right="0.7" top="0.75" bottom="0.75" header="0.3" footer="0.3"/>
  <pageSetup paperSize="9" scale="61" fitToHeight="0" orientation="landscape" r:id="rId1"/>
</worksheet>
</file>

<file path=xl/worksheets/sheet3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U192"/>
  <sheetViews>
    <sheetView showGridLines="0" workbookViewId="0"/>
  </sheetViews>
  <sheetFormatPr defaultColWidth="11.44140625" defaultRowHeight="14.4" x14ac:dyDescent="0.3"/>
  <cols>
    <col min="2" max="2" width="29" customWidth="1"/>
    <col min="3" max="3" width="30.6640625" customWidth="1"/>
    <col min="9" max="9" width="24" customWidth="1"/>
    <col min="13" max="13" width="13.6640625" bestFit="1" customWidth="1"/>
    <col min="14" max="14" width="15.44140625" customWidth="1"/>
  </cols>
  <sheetData>
    <row r="1" spans="1:21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1.32</f>
        <v>1.32</v>
      </c>
    </row>
    <row r="2" spans="1:21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21" x14ac:dyDescent="0.3">
      <c r="A3" s="837" t="s">
        <v>534</v>
      </c>
      <c r="B3" t="s">
        <v>2772</v>
      </c>
      <c r="D3" s="837" t="s">
        <v>538</v>
      </c>
      <c r="J3" s="837" t="s">
        <v>536</v>
      </c>
    </row>
    <row r="4" spans="1:21" x14ac:dyDescent="0.3">
      <c r="A4" s="837" t="s">
        <v>545</v>
      </c>
      <c r="B4" s="166" t="s">
        <v>460</v>
      </c>
      <c r="D4" s="837" t="s">
        <v>541</v>
      </c>
      <c r="J4" s="837" t="s">
        <v>538</v>
      </c>
      <c r="M4" s="837" t="s">
        <v>539</v>
      </c>
      <c r="N4" s="164">
        <f>N1*N2</f>
        <v>5.28</v>
      </c>
    </row>
    <row r="5" spans="1:21" x14ac:dyDescent="0.3">
      <c r="A5" s="837" t="s">
        <v>537</v>
      </c>
      <c r="B5" s="166" t="s">
        <v>459</v>
      </c>
      <c r="J5" s="837" t="s">
        <v>541</v>
      </c>
    </row>
    <row r="6" spans="1:21" x14ac:dyDescent="0.3">
      <c r="A6" s="837" t="s">
        <v>540</v>
      </c>
      <c r="B6" s="161" t="s">
        <v>36</v>
      </c>
    </row>
    <row r="7" spans="1:21" x14ac:dyDescent="0.3">
      <c r="A7" s="928" t="s">
        <v>542</v>
      </c>
      <c r="B7" s="161"/>
    </row>
    <row r="8" spans="1:21" x14ac:dyDescent="0.3">
      <c r="A8" s="201"/>
      <c r="B8" s="201"/>
      <c r="C8" s="201"/>
      <c r="D8" s="201"/>
      <c r="E8" s="201"/>
    </row>
    <row r="9" spans="1:21" x14ac:dyDescent="0.3">
      <c r="A9" s="929" t="s">
        <v>544</v>
      </c>
      <c r="B9" s="929" t="s">
        <v>581</v>
      </c>
      <c r="C9" s="929" t="s">
        <v>549</v>
      </c>
      <c r="D9" s="929" t="s">
        <v>550</v>
      </c>
      <c r="E9" s="92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21" x14ac:dyDescent="0.3">
      <c r="A10" s="168">
        <v>10</v>
      </c>
      <c r="B10" s="168" t="s">
        <v>1706</v>
      </c>
      <c r="C10" s="168" t="s">
        <v>1707</v>
      </c>
      <c r="D10" s="170">
        <v>2.2000000000000002</v>
      </c>
      <c r="E10" s="168">
        <v>5</v>
      </c>
      <c r="F10" s="168" t="s">
        <v>573</v>
      </c>
      <c r="G10" s="168"/>
      <c r="H10" s="219"/>
      <c r="I10" s="220" t="s">
        <v>2782</v>
      </c>
      <c r="J10" s="227">
        <f>3.14*(E10*10^-3)^2</f>
        <v>7.8500000000000011E-5</v>
      </c>
      <c r="K10" s="219">
        <v>1.2E-2</v>
      </c>
      <c r="L10" s="179">
        <v>6400</v>
      </c>
      <c r="M10" s="222">
        <v>1</v>
      </c>
      <c r="N10" s="223">
        <f>M10*L10*K10*J10*D10</f>
        <v>1.3263360000000004E-2</v>
      </c>
    </row>
    <row r="11" spans="1:21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N10</f>
        <v>1.3263360000000004E-2</v>
      </c>
    </row>
    <row r="13" spans="1:2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21" ht="28.8" x14ac:dyDescent="0.3">
      <c r="A14" s="168">
        <v>10</v>
      </c>
      <c r="B14" s="180" t="s">
        <v>589</v>
      </c>
      <c r="C14" s="193" t="s">
        <v>2783</v>
      </c>
      <c r="D14" s="170">
        <v>1.3</v>
      </c>
      <c r="E14" s="168" t="s">
        <v>556</v>
      </c>
      <c r="F14" s="168">
        <v>1</v>
      </c>
      <c r="G14" s="180"/>
      <c r="H14" s="168"/>
      <c r="I14" s="223">
        <f>D14</f>
        <v>1.3</v>
      </c>
      <c r="M14" s="230"/>
      <c r="N14" s="230"/>
      <c r="O14" s="230"/>
    </row>
    <row r="15" spans="1:21" ht="28.8" x14ac:dyDescent="0.3">
      <c r="A15" s="168">
        <v>20</v>
      </c>
      <c r="B15" s="180" t="s">
        <v>609</v>
      </c>
      <c r="C15" s="184" t="s">
        <v>1710</v>
      </c>
      <c r="D15" s="170">
        <v>0.04</v>
      </c>
      <c r="E15" s="180" t="s">
        <v>610</v>
      </c>
      <c r="F15" s="179">
        <v>0.26</v>
      </c>
      <c r="G15" s="180" t="s">
        <v>2784</v>
      </c>
      <c r="H15" s="168">
        <v>1.33</v>
      </c>
      <c r="I15" s="223">
        <f>F15*D15*H15</f>
        <v>1.3832000000000002E-2</v>
      </c>
      <c r="O15" s="230"/>
    </row>
    <row r="16" spans="1:21" x14ac:dyDescent="0.3">
      <c r="A16" s="178"/>
      <c r="B16" s="178"/>
      <c r="C16" s="178"/>
      <c r="D16" s="178"/>
      <c r="E16" s="178"/>
      <c r="F16" s="178"/>
      <c r="G16" s="178"/>
      <c r="H16" s="840" t="s">
        <v>547</v>
      </c>
      <c r="I16" s="841">
        <f>I15+I14</f>
        <v>1.3138320000000001</v>
      </c>
      <c r="J16" s="178"/>
      <c r="K16" s="178"/>
      <c r="L16" s="178"/>
      <c r="M16" s="178"/>
      <c r="N16" s="178"/>
      <c r="P16" s="178"/>
      <c r="Q16" s="178"/>
      <c r="R16" s="178"/>
      <c r="S16" s="178"/>
      <c r="T16" s="178"/>
      <c r="U16" s="178"/>
    </row>
    <row r="17" spans="8:9" x14ac:dyDescent="0.3">
      <c r="H17" s="326"/>
      <c r="I17" s="325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</sheetData>
  <pageMargins left="0.7" right="0.7" top="0.75" bottom="0.75" header="0.3" footer="0.3"/>
  <pageSetup paperSize="9" scale="60" fitToHeight="0" orientation="landscape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1.33203125" style="161" bestFit="1" customWidth="1"/>
    <col min="2" max="2" width="25.5546875" style="161" customWidth="1"/>
    <col min="3" max="3" width="13.6640625" style="161" customWidth="1"/>
    <col min="4" max="4" width="13.5546875" style="161" bestFit="1" customWidth="1"/>
    <col min="5" max="6" width="10.6640625" style="161" customWidth="1"/>
    <col min="7" max="7" width="13.44140625" style="161" customWidth="1"/>
    <col min="8" max="8" width="10.6640625" style="161" customWidth="1"/>
    <col min="9" max="9" width="12.5546875" style="161" customWidth="1"/>
    <col min="10" max="11" width="10.44140625" style="161" bestFit="1" customWidth="1"/>
    <col min="12" max="12" width="11.33203125" style="161" bestFit="1" customWidth="1"/>
    <col min="13" max="13" width="14.33203125" style="161" customWidth="1"/>
    <col min="14" max="14" width="11.66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N11+I17</f>
        <v>3.5073259762000002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68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774</v>
      </c>
      <c r="D4" s="342" t="s">
        <v>541</v>
      </c>
      <c r="J4" s="342" t="s">
        <v>538</v>
      </c>
      <c r="M4" s="342" t="s">
        <v>539</v>
      </c>
      <c r="N4" s="336">
        <f>N1*N2</f>
        <v>3.5073259762000002</v>
      </c>
    </row>
    <row r="5" spans="1:14" x14ac:dyDescent="0.3">
      <c r="A5" s="342" t="s">
        <v>537</v>
      </c>
      <c r="B5" s="166" t="s">
        <v>75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68" t="s">
        <v>606</v>
      </c>
      <c r="C10" s="168" t="s">
        <v>790</v>
      </c>
      <c r="D10" s="323">
        <v>2.25</v>
      </c>
      <c r="E10" s="168">
        <v>14</v>
      </c>
      <c r="F10" s="168" t="s">
        <v>573</v>
      </c>
      <c r="G10" s="168"/>
      <c r="H10" s="219"/>
      <c r="I10" s="220" t="s">
        <v>789</v>
      </c>
      <c r="J10" s="227">
        <f>7*7*3.14/1000000</f>
        <v>1.5386000000000002E-4</v>
      </c>
      <c r="K10" s="228">
        <v>0.28199999999999997</v>
      </c>
      <c r="L10" s="219">
        <v>7860</v>
      </c>
      <c r="M10" s="339">
        <v>1</v>
      </c>
      <c r="N10" s="322">
        <f>IF(J10="",D10*M10,D10*J10*K10*L10*M10)</f>
        <v>0.76732597619999998</v>
      </c>
    </row>
    <row r="11" spans="1:14" s="178" customFormat="1" x14ac:dyDescent="0.3">
      <c r="M11" s="338" t="s">
        <v>547</v>
      </c>
      <c r="N11" s="337">
        <f>SUM(N10:N10)</f>
        <v>0.76732597619999998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31.95" customHeight="1" x14ac:dyDescent="0.3">
      <c r="A14" s="168">
        <v>10</v>
      </c>
      <c r="B14" s="315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IF('EN 01006'!$H14&lt;&gt;"",'EN 01006'!$D14*'EN 01006'!$F14*'EN 01006'!$H14,'EN 01006'!$D14*'EN 01006'!$F14)</f>
        <v>1.3</v>
      </c>
    </row>
    <row r="15" spans="1:14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2</v>
      </c>
      <c r="G15" s="168" t="s">
        <v>784</v>
      </c>
      <c r="H15" s="168">
        <v>3</v>
      </c>
      <c r="I15" s="322">
        <f>IF('EN 01006'!$H15&lt;&gt;"",'EN 01006'!$D15*'EN 01006'!$F15*'EN 01006'!$H15,'EN 01006'!$D15*'EN 01006'!$F15)</f>
        <v>0.24</v>
      </c>
    </row>
    <row r="16" spans="1:14" ht="28.8" x14ac:dyDescent="0.3">
      <c r="A16" s="168">
        <v>30</v>
      </c>
      <c r="B16" s="180" t="s">
        <v>788</v>
      </c>
      <c r="C16" s="171"/>
      <c r="D16" s="323">
        <v>0.1</v>
      </c>
      <c r="E16" s="168" t="s">
        <v>593</v>
      </c>
      <c r="F16" s="168">
        <v>4</v>
      </c>
      <c r="G16" s="168" t="s">
        <v>784</v>
      </c>
      <c r="H16" s="168">
        <v>3</v>
      </c>
      <c r="I16" s="322">
        <f>IF('EN 01006'!$H16&lt;&gt;"",'EN 01006'!$D16*'EN 01006'!$F16*'EN 01006'!$H16,'EN 01006'!$D16*'EN 01006'!$F16)</f>
        <v>1.2000000000000002</v>
      </c>
    </row>
    <row r="17" spans="8:9" s="178" customFormat="1" x14ac:dyDescent="0.3">
      <c r="H17" s="338" t="s">
        <v>547</v>
      </c>
      <c r="I17" s="337">
        <f>SUM(I14:I16)</f>
        <v>2.74</v>
      </c>
    </row>
  </sheetData>
  <pageMargins left="0.5" right="0.5" top="0.75" bottom="0.75" header="0.3" footer="0.3"/>
  <pageSetup paperSize="9" scale="74" orientation="landscape" r:id="rId1"/>
</worksheet>
</file>

<file path=xl/worksheets/sheet3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94"/>
  <sheetViews>
    <sheetView showGridLines="0" workbookViewId="0"/>
  </sheetViews>
  <sheetFormatPr defaultColWidth="11.44140625" defaultRowHeight="14.4" x14ac:dyDescent="0.3"/>
  <cols>
    <col min="2" max="2" width="27.88671875" customWidth="1"/>
    <col min="3" max="3" width="46.6640625" customWidth="1"/>
    <col min="7" max="7" width="14" customWidth="1"/>
    <col min="9" max="9" width="22.6640625" customWidth="1"/>
    <col min="13" max="13" width="13.6640625" bestFit="1" customWidth="1"/>
    <col min="14" max="14" width="15.44140625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N11+I16</f>
        <v>3.12191704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2772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2761</v>
      </c>
      <c r="D4" s="837" t="s">
        <v>541</v>
      </c>
      <c r="J4" s="837" t="s">
        <v>538</v>
      </c>
      <c r="M4" s="837" t="s">
        <v>539</v>
      </c>
      <c r="N4" s="164">
        <f>N1*N2</f>
        <v>6.2438340800000001</v>
      </c>
    </row>
    <row r="5" spans="1:14" x14ac:dyDescent="0.3">
      <c r="A5" s="837" t="s">
        <v>537</v>
      </c>
      <c r="B5" s="166" t="s">
        <v>461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/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606</v>
      </c>
      <c r="C10" s="218" t="s">
        <v>2785</v>
      </c>
      <c r="D10" s="170">
        <v>2.25</v>
      </c>
      <c r="E10" s="168">
        <v>44</v>
      </c>
      <c r="F10" s="168" t="s">
        <v>573</v>
      </c>
      <c r="G10" s="168">
        <v>67</v>
      </c>
      <c r="H10" s="219" t="s">
        <v>573</v>
      </c>
      <c r="I10" s="267" t="s">
        <v>2786</v>
      </c>
      <c r="J10" s="220">
        <v>2.9480000000000001E-3</v>
      </c>
      <c r="K10" s="228">
        <v>4.0000000000000001E-3</v>
      </c>
      <c r="L10" s="179">
        <v>7860</v>
      </c>
      <c r="M10" s="222">
        <v>2</v>
      </c>
      <c r="N10" s="223">
        <f>M10*L10*K10*J10*D10</f>
        <v>0.41708304000000007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918">
        <f>N10</f>
        <v>0.41708304000000007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68" t="s">
        <v>699</v>
      </c>
      <c r="D14" s="170">
        <v>1.3</v>
      </c>
      <c r="E14" s="168" t="s">
        <v>556</v>
      </c>
      <c r="F14" s="168">
        <v>1</v>
      </c>
      <c r="G14" s="180"/>
      <c r="H14" s="168">
        <v>1</v>
      </c>
      <c r="I14" s="170">
        <f>H14*F14*D14</f>
        <v>1.3</v>
      </c>
    </row>
    <row r="15" spans="1:14" ht="28.8" x14ac:dyDescent="0.3">
      <c r="A15" s="168">
        <v>20</v>
      </c>
      <c r="B15" s="171" t="s">
        <v>700</v>
      </c>
      <c r="C15" s="218" t="s">
        <v>2787</v>
      </c>
      <c r="D15" s="734">
        <v>0.01</v>
      </c>
      <c r="E15" s="180" t="s">
        <v>593</v>
      </c>
      <c r="F15" s="316">
        <f>20.1139+3.3</f>
        <v>23.413900000000002</v>
      </c>
      <c r="G15" s="180" t="s">
        <v>2757</v>
      </c>
      <c r="H15" s="168">
        <v>6</v>
      </c>
      <c r="I15" s="170">
        <f>H15*F15*D15</f>
        <v>1.4048340000000001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840" t="s">
        <v>547</v>
      </c>
      <c r="I16" s="841">
        <f>I14+I15</f>
        <v>2.704834</v>
      </c>
      <c r="J16" s="178"/>
      <c r="K16" s="178"/>
      <c r="L16" s="178"/>
      <c r="M16" s="178"/>
      <c r="N16" s="178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</sheetData>
  <pageMargins left="0.7" right="0.7" top="0.75" bottom="0.75" header="0.3" footer="0.3"/>
  <pageSetup paperSize="9" scale="56" fitToHeight="0" orientation="landscape" r:id="rId1"/>
  <drawing r:id="rId2"/>
</worksheet>
</file>

<file path=xl/worksheets/sheet3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O43"/>
  <sheetViews>
    <sheetView showGridLines="0" workbookViewId="0"/>
  </sheetViews>
  <sheetFormatPr defaultColWidth="11.44140625" defaultRowHeight="14.4" x14ac:dyDescent="0.3"/>
  <cols>
    <col min="2" max="2" width="25.44140625" customWidth="1"/>
    <col min="3" max="3" width="49.5546875" customWidth="1"/>
    <col min="8" max="8" width="15.88671875" bestFit="1" customWidth="1"/>
    <col min="13" max="13" width="13.6640625" bestFit="1" customWidth="1"/>
    <col min="14" max="14" width="15.44140625" customWidth="1"/>
  </cols>
  <sheetData>
    <row r="1" spans="1:15" x14ac:dyDescent="0.3">
      <c r="A1" s="919" t="s">
        <v>523</v>
      </c>
      <c r="B1" s="161" t="s">
        <v>524</v>
      </c>
      <c r="J1" s="919" t="s">
        <v>528</v>
      </c>
      <c r="K1" s="163">
        <v>81</v>
      </c>
      <c r="M1" s="919" t="s">
        <v>531</v>
      </c>
      <c r="N1" s="164">
        <f>N17+I30+I43+E12+J39</f>
        <v>18.821185069441665</v>
      </c>
    </row>
    <row r="2" spans="1:15" x14ac:dyDescent="0.3">
      <c r="A2" s="919" t="s">
        <v>532</v>
      </c>
      <c r="B2" s="161" t="s">
        <v>411</v>
      </c>
      <c r="M2" s="919" t="s">
        <v>533</v>
      </c>
      <c r="N2" s="165">
        <v>2</v>
      </c>
    </row>
    <row r="3" spans="1:15" x14ac:dyDescent="0.3">
      <c r="A3" s="919" t="s">
        <v>534</v>
      </c>
      <c r="B3" t="s">
        <v>2788</v>
      </c>
      <c r="J3" s="919" t="s">
        <v>536</v>
      </c>
    </row>
    <row r="4" spans="1:15" x14ac:dyDescent="0.3">
      <c r="A4" s="919" t="s">
        <v>537</v>
      </c>
      <c r="B4" s="166" t="s">
        <v>462</v>
      </c>
      <c r="J4" s="919" t="s">
        <v>538</v>
      </c>
      <c r="M4" s="919" t="s">
        <v>539</v>
      </c>
      <c r="N4" s="164">
        <f>N2*N1</f>
        <v>37.642370138883329</v>
      </c>
    </row>
    <row r="5" spans="1:15" x14ac:dyDescent="0.3">
      <c r="A5" s="919" t="s">
        <v>540</v>
      </c>
      <c r="B5" s="161" t="s">
        <v>36</v>
      </c>
      <c r="J5" s="919" t="s">
        <v>541</v>
      </c>
    </row>
    <row r="6" spans="1:15" x14ac:dyDescent="0.3">
      <c r="A6" s="919" t="s">
        <v>542</v>
      </c>
      <c r="B6" s="161" t="s">
        <v>2789</v>
      </c>
    </row>
    <row r="8" spans="1:15" x14ac:dyDescent="0.3">
      <c r="A8" s="920" t="s">
        <v>544</v>
      </c>
      <c r="B8" s="920" t="s">
        <v>545</v>
      </c>
      <c r="C8" s="920" t="s">
        <v>546</v>
      </c>
      <c r="D8" s="920" t="s">
        <v>28</v>
      </c>
      <c r="E8" s="920" t="s">
        <v>547</v>
      </c>
    </row>
    <row r="9" spans="1:15" x14ac:dyDescent="0.3">
      <c r="A9" s="168">
        <v>10</v>
      </c>
      <c r="B9" s="169" t="s">
        <v>2588</v>
      </c>
      <c r="C9" s="170">
        <f>'SU 07001'!N1</f>
        <v>0.44427764137499998</v>
      </c>
      <c r="D9" s="171">
        <v>1</v>
      </c>
      <c r="E9" s="223">
        <f>C9*D9</f>
        <v>0.44427764137499998</v>
      </c>
    </row>
    <row r="10" spans="1:15" x14ac:dyDescent="0.3">
      <c r="A10" s="168">
        <v>20</v>
      </c>
      <c r="B10" s="169" t="s">
        <v>2790</v>
      </c>
      <c r="C10" s="170">
        <f>'SU 07002'!N1</f>
        <v>2.4699953806999999</v>
      </c>
      <c r="D10" s="171">
        <v>1</v>
      </c>
      <c r="E10" s="223">
        <f>C10*D10</f>
        <v>2.4699953806999999</v>
      </c>
      <c r="H10" s="173"/>
      <c r="I10" s="174"/>
      <c r="J10" s="174"/>
      <c r="K10" s="175"/>
      <c r="L10" s="174"/>
      <c r="M10" s="174"/>
      <c r="N10" s="174"/>
      <c r="O10" s="174"/>
    </row>
    <row r="11" spans="1:15" x14ac:dyDescent="0.3">
      <c r="A11" s="168">
        <v>30</v>
      </c>
      <c r="B11" s="169" t="s">
        <v>2791</v>
      </c>
      <c r="C11" s="170">
        <f>'SU 07003'!N1</f>
        <v>2.4699953806999999</v>
      </c>
      <c r="D11" s="171">
        <v>1</v>
      </c>
      <c r="E11" s="223">
        <f>C11</f>
        <v>2.4699953806999999</v>
      </c>
    </row>
    <row r="12" spans="1:15" x14ac:dyDescent="0.3">
      <c r="D12" s="836" t="s">
        <v>547</v>
      </c>
      <c r="E12" s="921">
        <f>E10+E9+E11</f>
        <v>5.3842684027749996</v>
      </c>
    </row>
    <row r="14" spans="1:15" x14ac:dyDescent="0.3">
      <c r="A14" s="920" t="s">
        <v>544</v>
      </c>
      <c r="B14" s="920" t="s">
        <v>581</v>
      </c>
      <c r="C14" s="920" t="s">
        <v>549</v>
      </c>
      <c r="D14" s="920" t="s">
        <v>550</v>
      </c>
      <c r="E14" s="920" t="s">
        <v>567</v>
      </c>
      <c r="F14" s="920" t="s">
        <v>568</v>
      </c>
      <c r="G14" s="920" t="s">
        <v>569</v>
      </c>
      <c r="H14" s="920" t="s">
        <v>570</v>
      </c>
      <c r="I14" s="920" t="s">
        <v>582</v>
      </c>
      <c r="J14" s="920" t="s">
        <v>583</v>
      </c>
      <c r="K14" s="920" t="s">
        <v>584</v>
      </c>
      <c r="L14" s="920" t="s">
        <v>585</v>
      </c>
      <c r="M14" s="920" t="s">
        <v>28</v>
      </c>
      <c r="N14" s="920" t="s">
        <v>547</v>
      </c>
    </row>
    <row r="15" spans="1:15" x14ac:dyDescent="0.3">
      <c r="A15" s="168">
        <v>10</v>
      </c>
      <c r="B15" s="225" t="s">
        <v>1329</v>
      </c>
      <c r="C15" s="168" t="s">
        <v>2792</v>
      </c>
      <c r="D15" s="170">
        <v>2.5</v>
      </c>
      <c r="E15" s="168">
        <v>8</v>
      </c>
      <c r="F15" s="168" t="s">
        <v>573</v>
      </c>
      <c r="G15" s="168"/>
      <c r="H15" s="219"/>
      <c r="I15" s="220"/>
      <c r="J15" s="221"/>
      <c r="K15" s="219"/>
      <c r="L15" s="219"/>
      <c r="M15" s="222">
        <v>1</v>
      </c>
      <c r="N15" s="322">
        <f>M15*D15</f>
        <v>2.5</v>
      </c>
    </row>
    <row r="16" spans="1:15" x14ac:dyDescent="0.3">
      <c r="A16" s="168">
        <v>20</v>
      </c>
      <c r="B16" s="225" t="s">
        <v>1329</v>
      </c>
      <c r="C16" s="168" t="s">
        <v>2793</v>
      </c>
      <c r="D16" s="170">
        <v>2.5</v>
      </c>
      <c r="E16" s="168">
        <v>8</v>
      </c>
      <c r="F16" s="168" t="s">
        <v>573</v>
      </c>
      <c r="G16" s="168"/>
      <c r="H16" s="219"/>
      <c r="I16" s="220"/>
      <c r="J16" s="221"/>
      <c r="K16" s="219"/>
      <c r="L16" s="219"/>
      <c r="M16" s="222">
        <v>1</v>
      </c>
      <c r="N16" s="322">
        <f>M16*D16</f>
        <v>2.5</v>
      </c>
    </row>
    <row r="17" spans="1:14" x14ac:dyDescent="0.3">
      <c r="A17" s="178"/>
      <c r="B17" s="178"/>
      <c r="C17" s="178"/>
      <c r="D17" s="178"/>
      <c r="E17" s="178"/>
      <c r="F17" s="178"/>
      <c r="G17" s="178"/>
      <c r="H17" s="178"/>
      <c r="I17" s="178"/>
      <c r="J17" s="178"/>
      <c r="K17" s="178"/>
      <c r="L17" s="178"/>
      <c r="M17" s="836" t="s">
        <v>547</v>
      </c>
      <c r="N17" s="921">
        <f>N16+N15</f>
        <v>5</v>
      </c>
    </row>
    <row r="19" spans="1:14" x14ac:dyDescent="0.3">
      <c r="A19" s="920" t="s">
        <v>544</v>
      </c>
      <c r="B19" s="920" t="s">
        <v>548</v>
      </c>
      <c r="C19" s="920" t="s">
        <v>549</v>
      </c>
      <c r="D19" s="920" t="s">
        <v>550</v>
      </c>
      <c r="E19" s="920" t="s">
        <v>551</v>
      </c>
      <c r="F19" s="920" t="s">
        <v>28</v>
      </c>
      <c r="G19" s="920" t="s">
        <v>552</v>
      </c>
      <c r="H19" s="920" t="s">
        <v>553</v>
      </c>
      <c r="I19" s="920" t="s">
        <v>547</v>
      </c>
      <c r="J19" s="178"/>
      <c r="K19" s="178"/>
      <c r="L19" s="178"/>
      <c r="M19" s="178"/>
      <c r="N19" s="178"/>
    </row>
    <row r="20" spans="1:14" x14ac:dyDescent="0.3">
      <c r="A20" s="183">
        <v>10</v>
      </c>
      <c r="B20" s="930" t="s">
        <v>650</v>
      </c>
      <c r="C20" s="193" t="s">
        <v>2575</v>
      </c>
      <c r="D20" s="829">
        <v>0.15</v>
      </c>
      <c r="E20" s="183" t="s">
        <v>593</v>
      </c>
      <c r="F20" s="183">
        <v>4.71</v>
      </c>
      <c r="G20" s="183" t="s">
        <v>2155</v>
      </c>
      <c r="H20" s="183">
        <v>2</v>
      </c>
      <c r="I20" s="185">
        <f>F20*D20*H20</f>
        <v>1.413</v>
      </c>
    </row>
    <row r="21" spans="1:14" x14ac:dyDescent="0.3">
      <c r="A21" s="217">
        <v>20</v>
      </c>
      <c r="B21" s="180" t="s">
        <v>653</v>
      </c>
      <c r="C21" s="193" t="s">
        <v>2794</v>
      </c>
      <c r="D21" s="829">
        <v>5.25</v>
      </c>
      <c r="E21" s="183" t="s">
        <v>627</v>
      </c>
      <c r="F21" s="217">
        <v>8.9999999999999993E-3</v>
      </c>
      <c r="G21" s="183"/>
      <c r="H21" s="217"/>
      <c r="I21" s="883">
        <f>D21*F21</f>
        <v>4.7249999999999993E-2</v>
      </c>
    </row>
    <row r="22" spans="1:14" x14ac:dyDescent="0.3">
      <c r="A22" s="217">
        <v>30</v>
      </c>
      <c r="B22" s="315" t="s">
        <v>674</v>
      </c>
      <c r="C22" s="931" t="s">
        <v>2578</v>
      </c>
      <c r="D22" s="932">
        <v>1.5</v>
      </c>
      <c r="E22" s="180" t="s">
        <v>556</v>
      </c>
      <c r="F22" s="183">
        <v>2</v>
      </c>
      <c r="G22" s="183"/>
      <c r="H22" s="183"/>
      <c r="I22" s="185">
        <f>D22*F22</f>
        <v>3</v>
      </c>
    </row>
    <row r="23" spans="1:14" x14ac:dyDescent="0.3">
      <c r="A23" s="183">
        <v>40</v>
      </c>
      <c r="B23" s="930" t="s">
        <v>616</v>
      </c>
      <c r="C23" s="931" t="s">
        <v>2795</v>
      </c>
      <c r="D23" s="852">
        <v>0.25</v>
      </c>
      <c r="E23" s="180" t="s">
        <v>556</v>
      </c>
      <c r="F23" s="183">
        <v>2</v>
      </c>
      <c r="G23" s="183"/>
      <c r="H23" s="183"/>
      <c r="I23" s="185">
        <f>F23*D23</f>
        <v>0.5</v>
      </c>
    </row>
    <row r="24" spans="1:14" x14ac:dyDescent="0.3">
      <c r="A24" s="217">
        <v>50</v>
      </c>
      <c r="B24" s="930" t="s">
        <v>557</v>
      </c>
      <c r="C24" s="414" t="s">
        <v>2796</v>
      </c>
      <c r="D24" s="241">
        <v>0.06</v>
      </c>
      <c r="E24" s="183" t="s">
        <v>556</v>
      </c>
      <c r="F24" s="414">
        <v>1</v>
      </c>
      <c r="G24" s="180"/>
      <c r="H24" s="414"/>
      <c r="I24" s="185">
        <f t="shared" ref="I24:I29" si="0">D24</f>
        <v>0.06</v>
      </c>
    </row>
    <row r="25" spans="1:14" x14ac:dyDescent="0.3">
      <c r="A25" s="183">
        <v>60</v>
      </c>
      <c r="B25" s="378" t="s">
        <v>559</v>
      </c>
      <c r="C25" s="414" t="s">
        <v>2797</v>
      </c>
      <c r="D25" s="852">
        <v>0.75</v>
      </c>
      <c r="E25" s="180" t="s">
        <v>556</v>
      </c>
      <c r="F25" s="414">
        <v>1</v>
      </c>
      <c r="G25" s="180"/>
      <c r="H25" s="414"/>
      <c r="I25" s="185">
        <f t="shared" si="0"/>
        <v>0.75</v>
      </c>
    </row>
    <row r="26" spans="1:14" x14ac:dyDescent="0.3">
      <c r="A26" s="217">
        <v>70</v>
      </c>
      <c r="B26" s="930" t="s">
        <v>616</v>
      </c>
      <c r="C26" s="414" t="s">
        <v>2769</v>
      </c>
      <c r="D26" s="852">
        <v>0.25</v>
      </c>
      <c r="E26" s="180" t="s">
        <v>556</v>
      </c>
      <c r="F26" s="414">
        <v>1</v>
      </c>
      <c r="G26" s="180"/>
      <c r="H26" s="414"/>
      <c r="I26" s="185">
        <f t="shared" si="0"/>
        <v>0.25</v>
      </c>
    </row>
    <row r="27" spans="1:14" x14ac:dyDescent="0.3">
      <c r="A27" s="183">
        <v>80</v>
      </c>
      <c r="B27" s="930" t="s">
        <v>557</v>
      </c>
      <c r="C27" s="414" t="s">
        <v>2798</v>
      </c>
      <c r="D27" s="241">
        <v>0.06</v>
      </c>
      <c r="E27" s="183" t="s">
        <v>556</v>
      </c>
      <c r="F27" s="414">
        <v>1</v>
      </c>
      <c r="G27" s="180"/>
      <c r="H27" s="414"/>
      <c r="I27" s="185">
        <f t="shared" si="0"/>
        <v>0.06</v>
      </c>
    </row>
    <row r="28" spans="1:14" x14ac:dyDescent="0.3">
      <c r="A28" s="217">
        <v>90</v>
      </c>
      <c r="B28" s="378" t="s">
        <v>559</v>
      </c>
      <c r="C28" s="414" t="s">
        <v>2799</v>
      </c>
      <c r="D28" s="852">
        <v>0.75</v>
      </c>
      <c r="E28" s="180" t="s">
        <v>556</v>
      </c>
      <c r="F28" s="414">
        <v>1</v>
      </c>
      <c r="G28" s="180"/>
      <c r="H28" s="414"/>
      <c r="I28" s="185">
        <f t="shared" si="0"/>
        <v>0.75</v>
      </c>
    </row>
    <row r="29" spans="1:14" x14ac:dyDescent="0.3">
      <c r="A29" s="183">
        <v>100</v>
      </c>
      <c r="B29" s="930" t="s">
        <v>616</v>
      </c>
      <c r="C29" s="414" t="s">
        <v>2769</v>
      </c>
      <c r="D29" s="852">
        <v>0.25</v>
      </c>
      <c r="E29" s="180" t="s">
        <v>556</v>
      </c>
      <c r="F29" s="414">
        <v>1</v>
      </c>
      <c r="G29" s="180"/>
      <c r="H29" s="414"/>
      <c r="I29" s="185">
        <f t="shared" si="0"/>
        <v>0.25</v>
      </c>
    </row>
    <row r="30" spans="1:14" x14ac:dyDescent="0.3">
      <c r="A30" s="178"/>
      <c r="B30" s="178"/>
      <c r="C30" s="178"/>
      <c r="D30" s="178"/>
      <c r="E30" s="178"/>
      <c r="F30" s="178"/>
      <c r="H30" s="834" t="s">
        <v>547</v>
      </c>
      <c r="I30" s="925">
        <f>SUM(I20:I29)</f>
        <v>7.0802499999999995</v>
      </c>
    </row>
    <row r="32" spans="1:14" x14ac:dyDescent="0.3">
      <c r="A32" s="920" t="s">
        <v>544</v>
      </c>
      <c r="B32" s="920" t="s">
        <v>566</v>
      </c>
      <c r="C32" s="920" t="s">
        <v>549</v>
      </c>
      <c r="D32" s="920" t="s">
        <v>550</v>
      </c>
      <c r="E32" s="920" t="s">
        <v>567</v>
      </c>
      <c r="F32" s="920" t="s">
        <v>568</v>
      </c>
      <c r="G32" s="920" t="s">
        <v>569</v>
      </c>
      <c r="H32" s="920" t="s">
        <v>570</v>
      </c>
      <c r="I32" s="920" t="s">
        <v>28</v>
      </c>
      <c r="J32" s="920" t="s">
        <v>547</v>
      </c>
    </row>
    <row r="33" spans="1:10" x14ac:dyDescent="0.3">
      <c r="A33" s="217">
        <v>10</v>
      </c>
      <c r="B33" s="810" t="s">
        <v>618</v>
      </c>
      <c r="C33" s="933" t="s">
        <v>2735</v>
      </c>
      <c r="D33" s="934">
        <v>0.04</v>
      </c>
      <c r="E33" s="183">
        <v>8</v>
      </c>
      <c r="F33" s="437" t="s">
        <v>573</v>
      </c>
      <c r="G33" s="183"/>
      <c r="H33" s="414"/>
      <c r="I33" s="865">
        <v>1</v>
      </c>
      <c r="J33" s="185">
        <f t="shared" ref="J33:J38" si="1">I33*D33</f>
        <v>0.04</v>
      </c>
    </row>
    <row r="34" spans="1:10" x14ac:dyDescent="0.3">
      <c r="A34" s="217">
        <v>20</v>
      </c>
      <c r="B34" s="810" t="s">
        <v>618</v>
      </c>
      <c r="C34" s="933" t="s">
        <v>2800</v>
      </c>
      <c r="D34" s="934">
        <v>0.04</v>
      </c>
      <c r="E34" s="183">
        <v>8</v>
      </c>
      <c r="F34" s="437" t="s">
        <v>573</v>
      </c>
      <c r="G34" s="183"/>
      <c r="H34" s="414"/>
      <c r="I34" s="865">
        <v>1</v>
      </c>
      <c r="J34" s="185">
        <f t="shared" si="1"/>
        <v>0.04</v>
      </c>
    </row>
    <row r="35" spans="1:10" x14ac:dyDescent="0.3">
      <c r="A35" s="183">
        <v>30</v>
      </c>
      <c r="B35" s="190" t="s">
        <v>684</v>
      </c>
      <c r="C35" s="183" t="s">
        <v>2797</v>
      </c>
      <c r="D35" s="934">
        <v>0.21</v>
      </c>
      <c r="E35" s="183">
        <v>8</v>
      </c>
      <c r="F35" s="935" t="s">
        <v>573</v>
      </c>
      <c r="G35" s="183">
        <v>50</v>
      </c>
      <c r="H35" s="414" t="s">
        <v>573</v>
      </c>
      <c r="I35" s="865">
        <v>1</v>
      </c>
      <c r="J35" s="185">
        <f t="shared" si="1"/>
        <v>0.21</v>
      </c>
    </row>
    <row r="36" spans="1:10" x14ac:dyDescent="0.3">
      <c r="A36" s="183">
        <v>40</v>
      </c>
      <c r="B36" s="190" t="s">
        <v>684</v>
      </c>
      <c r="C36" s="183" t="s">
        <v>2799</v>
      </c>
      <c r="D36" s="883">
        <v>0.24</v>
      </c>
      <c r="E36" s="217">
        <v>8</v>
      </c>
      <c r="F36" s="217" t="s">
        <v>573</v>
      </c>
      <c r="G36" s="217">
        <v>55</v>
      </c>
      <c r="H36" s="217" t="s">
        <v>573</v>
      </c>
      <c r="I36" s="871">
        <v>1</v>
      </c>
      <c r="J36" s="185">
        <f t="shared" si="1"/>
        <v>0.24</v>
      </c>
    </row>
    <row r="37" spans="1:10" x14ac:dyDescent="0.3">
      <c r="A37" s="217">
        <v>50</v>
      </c>
      <c r="B37" s="629" t="s">
        <v>618</v>
      </c>
      <c r="C37" s="183"/>
      <c r="D37" s="934">
        <v>0.04</v>
      </c>
      <c r="E37" s="183">
        <v>8</v>
      </c>
      <c r="F37" s="437" t="s">
        <v>573</v>
      </c>
      <c r="G37" s="183"/>
      <c r="H37" s="414"/>
      <c r="I37" s="865">
        <v>2</v>
      </c>
      <c r="J37" s="185">
        <f t="shared" si="1"/>
        <v>0.08</v>
      </c>
    </row>
    <row r="38" spans="1:10" x14ac:dyDescent="0.3">
      <c r="A38" s="183">
        <v>60</v>
      </c>
      <c r="B38" s="629" t="s">
        <v>574</v>
      </c>
      <c r="C38" s="183"/>
      <c r="D38" s="934">
        <v>0.01</v>
      </c>
      <c r="E38" s="183">
        <v>8</v>
      </c>
      <c r="F38" s="437" t="s">
        <v>573</v>
      </c>
      <c r="G38" s="217"/>
      <c r="H38" s="217"/>
      <c r="I38" s="871">
        <v>8</v>
      </c>
      <c r="J38" s="185">
        <f t="shared" si="1"/>
        <v>0.08</v>
      </c>
    </row>
    <row r="39" spans="1:10" x14ac:dyDescent="0.3">
      <c r="A39" s="178"/>
      <c r="B39" s="178"/>
      <c r="C39" s="178"/>
      <c r="D39" s="178"/>
      <c r="E39" s="178"/>
      <c r="F39" s="178"/>
      <c r="G39" s="178"/>
      <c r="H39" s="178"/>
      <c r="I39" s="836" t="s">
        <v>547</v>
      </c>
      <c r="J39" s="921">
        <f>SUM(J33:J38)</f>
        <v>0.69</v>
      </c>
    </row>
    <row r="40" spans="1:10" x14ac:dyDescent="0.3">
      <c r="H40" s="326"/>
      <c r="I40" s="325"/>
    </row>
    <row r="41" spans="1:10" x14ac:dyDescent="0.3">
      <c r="A41" s="920" t="s">
        <v>544</v>
      </c>
      <c r="B41" s="920" t="s">
        <v>6</v>
      </c>
      <c r="C41" s="920" t="s">
        <v>549</v>
      </c>
      <c r="D41" s="920" t="s">
        <v>550</v>
      </c>
      <c r="E41" s="920" t="s">
        <v>551</v>
      </c>
      <c r="F41" s="920" t="s">
        <v>28</v>
      </c>
      <c r="G41" s="920" t="s">
        <v>691</v>
      </c>
      <c r="H41" s="920" t="s">
        <v>736</v>
      </c>
      <c r="I41" s="920" t="s">
        <v>547</v>
      </c>
      <c r="J41" s="178"/>
    </row>
    <row r="42" spans="1:10" x14ac:dyDescent="0.3">
      <c r="A42" s="168">
        <v>10</v>
      </c>
      <c r="B42" s="168" t="s">
        <v>1767</v>
      </c>
      <c r="C42" s="168" t="s">
        <v>1732</v>
      </c>
      <c r="D42" s="170">
        <v>500</v>
      </c>
      <c r="E42" s="168" t="s">
        <v>695</v>
      </c>
      <c r="F42" s="168">
        <v>4</v>
      </c>
      <c r="G42" s="168">
        <v>3000</v>
      </c>
      <c r="H42" s="168">
        <v>1</v>
      </c>
      <c r="I42" s="223">
        <v>0.66666666666666663</v>
      </c>
    </row>
    <row r="43" spans="1:10" x14ac:dyDescent="0.3">
      <c r="A43" s="178"/>
      <c r="B43" s="178"/>
      <c r="C43" s="178"/>
      <c r="D43" s="178"/>
      <c r="E43" s="178"/>
      <c r="F43" s="178"/>
      <c r="G43" s="178"/>
      <c r="H43" s="836" t="s">
        <v>547</v>
      </c>
      <c r="I43" s="921">
        <f>I42</f>
        <v>0.66666666666666663</v>
      </c>
      <c r="J43" s="178"/>
    </row>
  </sheetData>
  <pageMargins left="0.7" right="0.7" top="0.75" bottom="0.75" header="0.3" footer="0.3"/>
  <pageSetup paperSize="9" scale="58" fitToHeight="0" orientation="landscape" r:id="rId1"/>
  <drawing r:id="rId2"/>
</worksheet>
</file>

<file path=xl/worksheets/sheet3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93"/>
  <sheetViews>
    <sheetView showGridLines="0" workbookViewId="0"/>
  </sheetViews>
  <sheetFormatPr defaultColWidth="11.44140625" defaultRowHeight="14.4" x14ac:dyDescent="0.3"/>
  <cols>
    <col min="2" max="2" width="33.44140625" customWidth="1"/>
    <col min="3" max="3" width="31.109375" customWidth="1"/>
    <col min="10" max="11" width="12" bestFit="1" customWidth="1"/>
    <col min="13" max="13" width="13.6640625" bestFit="1" customWidth="1"/>
    <col min="14" max="14" width="15.44140625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N11+I15</f>
        <v>0.44427764137499998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2801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2588</v>
      </c>
      <c r="D4" s="837" t="s">
        <v>541</v>
      </c>
      <c r="J4" s="837" t="s">
        <v>538</v>
      </c>
      <c r="M4" s="837" t="s">
        <v>539</v>
      </c>
      <c r="N4" s="164">
        <f>N1*N2</f>
        <v>0.88855528274999995</v>
      </c>
    </row>
    <row r="5" spans="1:14" x14ac:dyDescent="0.3">
      <c r="A5" s="837" t="s">
        <v>537</v>
      </c>
      <c r="B5" s="166" t="s">
        <v>464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928" t="s">
        <v>542</v>
      </c>
      <c r="B7" s="161"/>
    </row>
    <row r="8" spans="1:14" x14ac:dyDescent="0.3">
      <c r="A8" s="178"/>
      <c r="B8" s="178"/>
      <c r="C8" s="178"/>
      <c r="D8" s="178"/>
      <c r="E8" s="178"/>
      <c r="F8" s="153"/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x14ac:dyDescent="0.3">
      <c r="A10" s="168">
        <v>10</v>
      </c>
      <c r="B10" s="225" t="s">
        <v>894</v>
      </c>
      <c r="C10" s="168" t="s">
        <v>2802</v>
      </c>
      <c r="D10" s="780">
        <v>2.25</v>
      </c>
      <c r="E10" s="168">
        <v>6</v>
      </c>
      <c r="F10" s="168" t="s">
        <v>573</v>
      </c>
      <c r="G10" s="168">
        <v>7.5</v>
      </c>
      <c r="H10" s="219" t="s">
        <v>573</v>
      </c>
      <c r="I10" s="220"/>
      <c r="J10" s="227">
        <f>3.14*(0.0075^2-0.006^2)</f>
        <v>6.3584999999999995E-5</v>
      </c>
      <c r="K10" s="228">
        <v>0.19500000000000001</v>
      </c>
      <c r="L10" s="179">
        <v>7860</v>
      </c>
      <c r="M10" s="222">
        <v>1</v>
      </c>
      <c r="N10" s="223">
        <f>L10*K10*D10*J10</f>
        <v>0.219277641375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N10</f>
        <v>0.219277641375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x14ac:dyDescent="0.3">
      <c r="A14" s="179">
        <v>10</v>
      </c>
      <c r="B14" s="180" t="s">
        <v>668</v>
      </c>
      <c r="C14" s="171" t="s">
        <v>1428</v>
      </c>
      <c r="D14" s="734">
        <v>0.15</v>
      </c>
      <c r="E14" s="168" t="s">
        <v>593</v>
      </c>
      <c r="F14" s="168">
        <v>1.5</v>
      </c>
      <c r="G14" s="168"/>
      <c r="H14" s="168"/>
      <c r="I14" s="170">
        <f>F14*D14</f>
        <v>0.22499999999999998</v>
      </c>
    </row>
    <row r="15" spans="1:14" x14ac:dyDescent="0.3">
      <c r="H15" s="842" t="s">
        <v>547</v>
      </c>
      <c r="I15" s="918">
        <f>I14</f>
        <v>0.22499999999999998</v>
      </c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</sheetData>
  <pageMargins left="0.7" right="0.7" top="0.75" bottom="0.75" header="0.3" footer="0.3"/>
  <pageSetup paperSize="9" scale="62" orientation="landscape" r:id="rId1"/>
</worksheet>
</file>

<file path=xl/worksheets/sheet3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200"/>
  <sheetViews>
    <sheetView showGridLines="0" workbookViewId="0"/>
  </sheetViews>
  <sheetFormatPr defaultColWidth="11.44140625" defaultRowHeight="14.4" x14ac:dyDescent="0.3"/>
  <cols>
    <col min="2" max="2" width="33.44140625" customWidth="1"/>
    <col min="3" max="3" width="45.6640625" customWidth="1"/>
    <col min="7" max="7" width="15.6640625" customWidth="1"/>
    <col min="9" max="9" width="16" customWidth="1"/>
    <col min="10" max="11" width="12" bestFit="1" customWidth="1"/>
    <col min="13" max="13" width="13.6640625" bestFit="1" customWidth="1"/>
    <col min="14" max="14" width="13.109375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N11+I19</f>
        <v>2.4699953806999999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2801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2803</v>
      </c>
      <c r="D4" s="837" t="s">
        <v>541</v>
      </c>
      <c r="J4" s="837" t="s">
        <v>538</v>
      </c>
      <c r="M4" s="837" t="s">
        <v>539</v>
      </c>
      <c r="N4" s="164">
        <f>N2*N1</f>
        <v>4.9399907613999998</v>
      </c>
    </row>
    <row r="5" spans="1:14" x14ac:dyDescent="0.3">
      <c r="A5" s="837" t="s">
        <v>537</v>
      </c>
      <c r="B5" s="166" t="s">
        <v>465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 t="s">
        <v>2804</v>
      </c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606</v>
      </c>
      <c r="C10" s="218" t="s">
        <v>2805</v>
      </c>
      <c r="D10" s="170">
        <v>2.25</v>
      </c>
      <c r="E10" s="168">
        <v>7</v>
      </c>
      <c r="F10" s="168" t="s">
        <v>573</v>
      </c>
      <c r="G10" s="168"/>
      <c r="H10" s="219"/>
      <c r="I10" s="269" t="s">
        <v>2733</v>
      </c>
      <c r="J10" s="227">
        <f>3.14*0.007^2</f>
        <v>1.5386000000000002E-4</v>
      </c>
      <c r="K10" s="228">
        <v>2.7E-2</v>
      </c>
      <c r="L10" s="179">
        <v>7860</v>
      </c>
      <c r="M10" s="222">
        <v>1</v>
      </c>
      <c r="N10" s="223">
        <f>L10*K10*J10*D10</f>
        <v>7.3467380700000015E-2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841">
        <f>N10</f>
        <v>7.3467380700000015E-2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93" t="s">
        <v>2806</v>
      </c>
      <c r="D14" s="936">
        <v>1.3</v>
      </c>
      <c r="E14" s="180" t="s">
        <v>556</v>
      </c>
      <c r="F14" s="168">
        <v>1</v>
      </c>
      <c r="G14" s="168"/>
      <c r="H14" s="168"/>
      <c r="I14" s="223">
        <f>D14</f>
        <v>1.3</v>
      </c>
    </row>
    <row r="15" spans="1:14" x14ac:dyDescent="0.3">
      <c r="A15" s="168">
        <v>20</v>
      </c>
      <c r="B15" s="180" t="s">
        <v>609</v>
      </c>
      <c r="C15" s="184" t="s">
        <v>722</v>
      </c>
      <c r="D15" s="936">
        <v>0.04</v>
      </c>
      <c r="E15" s="180" t="s">
        <v>610</v>
      </c>
      <c r="F15" s="179">
        <v>0.69</v>
      </c>
      <c r="G15" s="168" t="s">
        <v>2525</v>
      </c>
      <c r="H15" s="168">
        <v>3</v>
      </c>
      <c r="I15" s="223">
        <f>D15*F15*H15</f>
        <v>8.2799999999999999E-2</v>
      </c>
    </row>
    <row r="16" spans="1:14" x14ac:dyDescent="0.3">
      <c r="A16" s="179">
        <v>30</v>
      </c>
      <c r="B16" s="171" t="s">
        <v>1249</v>
      </c>
      <c r="C16" s="171" t="s">
        <v>2807</v>
      </c>
      <c r="D16" s="936">
        <v>0.35</v>
      </c>
      <c r="E16" s="168" t="s">
        <v>843</v>
      </c>
      <c r="F16" s="168">
        <v>1</v>
      </c>
      <c r="G16" s="168"/>
      <c r="H16" s="168"/>
      <c r="I16" s="322">
        <v>0.35</v>
      </c>
    </row>
    <row r="17" spans="1:10" x14ac:dyDescent="0.3">
      <c r="A17" s="168">
        <v>40</v>
      </c>
      <c r="B17" s="180" t="s">
        <v>785</v>
      </c>
      <c r="C17" s="171" t="s">
        <v>2527</v>
      </c>
      <c r="D17" s="936">
        <v>0.65</v>
      </c>
      <c r="E17" s="180" t="s">
        <v>556</v>
      </c>
      <c r="F17" s="168">
        <v>1</v>
      </c>
      <c r="G17" s="168"/>
      <c r="H17" s="168"/>
      <c r="I17" s="223">
        <f>D17</f>
        <v>0.65</v>
      </c>
    </row>
    <row r="18" spans="1:10" x14ac:dyDescent="0.3">
      <c r="A18" s="168">
        <v>50</v>
      </c>
      <c r="B18" s="180" t="s">
        <v>609</v>
      </c>
      <c r="C18" s="168" t="s">
        <v>2584</v>
      </c>
      <c r="D18" s="936">
        <v>0.04</v>
      </c>
      <c r="E18" s="180" t="s">
        <v>610</v>
      </c>
      <c r="F18" s="316">
        <v>0.1144</v>
      </c>
      <c r="G18" s="168" t="s">
        <v>2525</v>
      </c>
      <c r="H18" s="168">
        <v>3</v>
      </c>
      <c r="I18" s="223">
        <f>D18*F18*H18</f>
        <v>1.3728000000000001E-2</v>
      </c>
    </row>
    <row r="19" spans="1:10" x14ac:dyDescent="0.3">
      <c r="A19" s="178"/>
      <c r="B19" s="178"/>
      <c r="C19" s="178"/>
      <c r="D19" s="178"/>
      <c r="E19" s="178"/>
      <c r="F19" s="178"/>
      <c r="G19" s="178"/>
      <c r="H19" s="840" t="s">
        <v>547</v>
      </c>
      <c r="I19" s="918">
        <f>SUM(I14:I18)</f>
        <v>2.396528</v>
      </c>
      <c r="J19" s="178"/>
    </row>
    <row r="20" spans="1:10" x14ac:dyDescent="0.3">
      <c r="H20" s="326"/>
      <c r="I20" s="325"/>
    </row>
    <row r="21" spans="1:10" x14ac:dyDescent="0.3">
      <c r="F21" s="937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  <row r="195" spans="1:8" x14ac:dyDescent="0.3">
      <c r="A195" s="161"/>
      <c r="B195" s="161"/>
      <c r="C195" s="161"/>
      <c r="D195" s="161"/>
      <c r="E195" s="161"/>
      <c r="F195" s="161"/>
      <c r="G195" s="161"/>
      <c r="H195" s="161"/>
    </row>
    <row r="196" spans="1:8" x14ac:dyDescent="0.3">
      <c r="A196" s="161"/>
      <c r="B196" s="161"/>
      <c r="C196" s="161"/>
      <c r="D196" s="161"/>
      <c r="E196" s="161"/>
      <c r="F196" s="161"/>
      <c r="G196" s="161"/>
      <c r="H196" s="161"/>
    </row>
    <row r="197" spans="1:8" x14ac:dyDescent="0.3">
      <c r="A197" s="161"/>
      <c r="B197" s="161"/>
      <c r="C197" s="161"/>
      <c r="D197" s="161"/>
      <c r="E197" s="161"/>
      <c r="F197" s="161"/>
      <c r="G197" s="161"/>
      <c r="H197" s="161"/>
    </row>
    <row r="198" spans="1:8" x14ac:dyDescent="0.3">
      <c r="A198" s="161"/>
      <c r="B198" s="161"/>
      <c r="C198" s="161"/>
      <c r="D198" s="161"/>
      <c r="E198" s="161"/>
      <c r="F198" s="161"/>
      <c r="G198" s="161"/>
      <c r="H198" s="161"/>
    </row>
    <row r="199" spans="1:8" x14ac:dyDescent="0.3">
      <c r="A199" s="161"/>
      <c r="B199" s="161"/>
      <c r="C199" s="161"/>
      <c r="D199" s="161"/>
      <c r="E199" s="161"/>
      <c r="F199" s="161"/>
      <c r="G199" s="161"/>
      <c r="H199" s="161"/>
    </row>
    <row r="200" spans="1:8" x14ac:dyDescent="0.3">
      <c r="A200" s="161"/>
      <c r="B200" s="161"/>
      <c r="C200" s="161"/>
      <c r="D200" s="161"/>
      <c r="E200" s="161"/>
      <c r="F200" s="161"/>
      <c r="G200" s="161"/>
      <c r="H200" s="161"/>
    </row>
  </sheetData>
  <pageMargins left="0.7" right="0.7" top="0.75" bottom="0.75" header="0.3" footer="0.3"/>
  <pageSetup paperSize="9" scale="56" fitToHeight="0" orientation="landscape" r:id="rId1"/>
</worksheet>
</file>

<file path=xl/worksheets/sheet3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200"/>
  <sheetViews>
    <sheetView showGridLines="0" workbookViewId="0"/>
  </sheetViews>
  <sheetFormatPr defaultColWidth="11.44140625" defaultRowHeight="14.4" x14ac:dyDescent="0.3"/>
  <cols>
    <col min="2" max="2" width="33.44140625" customWidth="1"/>
    <col min="3" max="3" width="50.44140625" customWidth="1"/>
    <col min="7" max="7" width="18.5546875" customWidth="1"/>
    <col min="9" max="9" width="16.6640625" customWidth="1"/>
    <col min="10" max="11" width="12" bestFit="1" customWidth="1"/>
    <col min="13" max="13" width="13.6640625" customWidth="1"/>
    <col min="14" max="14" width="11.6640625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N11+I19</f>
        <v>2.4699953806999999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2801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2808</v>
      </c>
      <c r="D4" s="837" t="s">
        <v>541</v>
      </c>
      <c r="J4" s="837" t="s">
        <v>538</v>
      </c>
      <c r="M4" s="837" t="s">
        <v>539</v>
      </c>
      <c r="N4" s="164">
        <f>N2*N1</f>
        <v>4.9399907613999998</v>
      </c>
    </row>
    <row r="5" spans="1:14" x14ac:dyDescent="0.3">
      <c r="A5" s="837" t="s">
        <v>537</v>
      </c>
      <c r="B5" s="166" t="s">
        <v>466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 t="s">
        <v>2804</v>
      </c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606</v>
      </c>
      <c r="C10" s="218" t="s">
        <v>2732</v>
      </c>
      <c r="D10" s="170">
        <v>2.25</v>
      </c>
      <c r="E10" s="168">
        <v>7</v>
      </c>
      <c r="F10" s="168" t="s">
        <v>573</v>
      </c>
      <c r="G10" s="168"/>
      <c r="H10" s="219"/>
      <c r="I10" s="269" t="s">
        <v>2733</v>
      </c>
      <c r="J10" s="227">
        <f>3.14*0.007^2</f>
        <v>1.5386000000000002E-4</v>
      </c>
      <c r="K10" s="228">
        <v>2.7E-2</v>
      </c>
      <c r="L10" s="179">
        <v>7860</v>
      </c>
      <c r="M10" s="222">
        <v>1</v>
      </c>
      <c r="N10" s="223">
        <f>L10*K10*J10*D10</f>
        <v>7.3467380700000015E-2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841">
        <f>N10</f>
        <v>7.3467380700000015E-2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93" t="s">
        <v>2734</v>
      </c>
      <c r="D14" s="936">
        <v>1.3</v>
      </c>
      <c r="E14" s="180" t="s">
        <v>556</v>
      </c>
      <c r="F14" s="168">
        <v>1</v>
      </c>
      <c r="G14" s="168"/>
      <c r="H14" s="168"/>
      <c r="I14" s="223">
        <f>D14</f>
        <v>1.3</v>
      </c>
    </row>
    <row r="15" spans="1:14" x14ac:dyDescent="0.3">
      <c r="A15" s="168">
        <v>20</v>
      </c>
      <c r="B15" s="180" t="s">
        <v>609</v>
      </c>
      <c r="C15" s="184" t="s">
        <v>722</v>
      </c>
      <c r="D15" s="936">
        <v>0.04</v>
      </c>
      <c r="E15" s="180" t="s">
        <v>610</v>
      </c>
      <c r="F15" s="179">
        <v>0.69</v>
      </c>
      <c r="G15" s="168" t="s">
        <v>2525</v>
      </c>
      <c r="H15" s="168">
        <v>3</v>
      </c>
      <c r="I15" s="223">
        <f>D15*F15*H15</f>
        <v>8.2799999999999999E-2</v>
      </c>
    </row>
    <row r="16" spans="1:14" x14ac:dyDescent="0.3">
      <c r="A16" s="179">
        <v>30</v>
      </c>
      <c r="B16" s="171" t="s">
        <v>1249</v>
      </c>
      <c r="C16" s="171" t="s">
        <v>2735</v>
      </c>
      <c r="D16" s="936">
        <v>0.35</v>
      </c>
      <c r="E16" s="168" t="s">
        <v>843</v>
      </c>
      <c r="F16" s="168">
        <v>1</v>
      </c>
      <c r="G16" s="168"/>
      <c r="H16" s="168"/>
      <c r="I16" s="322">
        <f>D16</f>
        <v>0.35</v>
      </c>
    </row>
    <row r="17" spans="1:10" x14ac:dyDescent="0.3">
      <c r="A17" s="168">
        <v>40</v>
      </c>
      <c r="B17" s="180" t="s">
        <v>785</v>
      </c>
      <c r="C17" s="171" t="s">
        <v>2527</v>
      </c>
      <c r="D17" s="936">
        <v>0.65</v>
      </c>
      <c r="E17" s="180" t="s">
        <v>556</v>
      </c>
      <c r="F17" s="168">
        <v>1</v>
      </c>
      <c r="G17" s="168"/>
      <c r="H17" s="168"/>
      <c r="I17" s="223">
        <f>D17</f>
        <v>0.65</v>
      </c>
    </row>
    <row r="18" spans="1:10" x14ac:dyDescent="0.3">
      <c r="A18" s="168">
        <v>50</v>
      </c>
      <c r="B18" s="180" t="s">
        <v>609</v>
      </c>
      <c r="C18" s="168" t="s">
        <v>2584</v>
      </c>
      <c r="D18" s="936">
        <v>0.04</v>
      </c>
      <c r="E18" s="180" t="s">
        <v>610</v>
      </c>
      <c r="F18" s="316">
        <v>0.1144</v>
      </c>
      <c r="G18" s="168" t="s">
        <v>2525</v>
      </c>
      <c r="H18" s="168">
        <v>3</v>
      </c>
      <c r="I18" s="223">
        <f>D18*F18*H18</f>
        <v>1.3728000000000001E-2</v>
      </c>
    </row>
    <row r="19" spans="1:10" x14ac:dyDescent="0.3">
      <c r="A19" s="178"/>
      <c r="B19" s="178"/>
      <c r="C19" s="178"/>
      <c r="D19" s="178"/>
      <c r="E19" s="178"/>
      <c r="F19" s="178"/>
      <c r="G19" s="178"/>
      <c r="H19" s="840" t="s">
        <v>547</v>
      </c>
      <c r="I19" s="918">
        <f>SUM(I14:I18)</f>
        <v>2.396528</v>
      </c>
      <c r="J19" s="178"/>
    </row>
    <row r="20" spans="1:10" x14ac:dyDescent="0.3">
      <c r="H20" s="326"/>
      <c r="I20" s="325"/>
    </row>
    <row r="21" spans="1:10" x14ac:dyDescent="0.3">
      <c r="F21" s="937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  <row r="195" spans="1:8" x14ac:dyDescent="0.3">
      <c r="A195" s="161"/>
      <c r="B195" s="161"/>
      <c r="C195" s="161"/>
      <c r="D195" s="161"/>
      <c r="E195" s="161"/>
      <c r="F195" s="161"/>
      <c r="G195" s="161"/>
      <c r="H195" s="161"/>
    </row>
    <row r="196" spans="1:8" x14ac:dyDescent="0.3">
      <c r="A196" s="161"/>
      <c r="B196" s="161"/>
      <c r="C196" s="161"/>
      <c r="D196" s="161"/>
      <c r="E196" s="161"/>
      <c r="F196" s="161"/>
      <c r="G196" s="161"/>
      <c r="H196" s="161"/>
    </row>
    <row r="197" spans="1:8" x14ac:dyDescent="0.3">
      <c r="A197" s="161"/>
      <c r="B197" s="161"/>
      <c r="C197" s="161"/>
      <c r="D197" s="161"/>
      <c r="E197" s="161"/>
      <c r="F197" s="161"/>
      <c r="G197" s="161"/>
      <c r="H197" s="161"/>
    </row>
    <row r="198" spans="1:8" x14ac:dyDescent="0.3">
      <c r="A198" s="161"/>
      <c r="B198" s="161"/>
      <c r="C198" s="161"/>
      <c r="D198" s="161"/>
      <c r="E198" s="161"/>
      <c r="F198" s="161"/>
      <c r="G198" s="161"/>
      <c r="H198" s="161"/>
    </row>
    <row r="199" spans="1:8" x14ac:dyDescent="0.3">
      <c r="A199" s="161"/>
      <c r="B199" s="161"/>
      <c r="C199" s="161"/>
      <c r="D199" s="161"/>
      <c r="E199" s="161"/>
      <c r="F199" s="161"/>
      <c r="G199" s="161"/>
      <c r="H199" s="161"/>
    </row>
    <row r="200" spans="1:8" x14ac:dyDescent="0.3">
      <c r="A200" s="161"/>
      <c r="B200" s="161"/>
      <c r="C200" s="161"/>
      <c r="D200" s="161"/>
      <c r="E200" s="161"/>
      <c r="F200" s="161"/>
      <c r="G200" s="161"/>
      <c r="H200" s="161"/>
    </row>
  </sheetData>
  <pageMargins left="0.7" right="0.7" top="0.75" bottom="0.75" header="0.3" footer="0.3"/>
  <pageSetup paperSize="9" scale="55" fitToHeight="0" orientation="landscape" r:id="rId1"/>
</worksheet>
</file>

<file path=xl/worksheets/sheet3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O40"/>
  <sheetViews>
    <sheetView showGridLines="0" workbookViewId="0"/>
  </sheetViews>
  <sheetFormatPr defaultColWidth="11.44140625" defaultRowHeight="14.4" x14ac:dyDescent="0.3"/>
  <cols>
    <col min="1" max="1" width="10.5546875" customWidth="1"/>
    <col min="2" max="2" width="32" customWidth="1"/>
    <col min="3" max="3" width="34.6640625" customWidth="1"/>
    <col min="5" max="5" width="12.33203125" customWidth="1"/>
    <col min="8" max="8" width="15.88671875" bestFit="1" customWidth="1"/>
    <col min="13" max="13" width="13.6640625" bestFit="1" customWidth="1"/>
  </cols>
  <sheetData>
    <row r="1" spans="1:15" x14ac:dyDescent="0.3">
      <c r="A1" s="832" t="s">
        <v>523</v>
      </c>
      <c r="B1" s="161" t="s">
        <v>524</v>
      </c>
      <c r="C1" s="211"/>
      <c r="D1" s="211"/>
      <c r="E1" s="211"/>
      <c r="F1" s="211"/>
      <c r="G1" s="211"/>
      <c r="H1" s="211"/>
      <c r="I1" s="211"/>
      <c r="J1" s="832" t="s">
        <v>528</v>
      </c>
      <c r="K1" s="163">
        <v>81</v>
      </c>
      <c r="L1" s="211"/>
      <c r="M1" s="832" t="s">
        <v>531</v>
      </c>
      <c r="N1" s="864">
        <f>E13+I29+J36+I40+N17</f>
        <v>345.71700275315379</v>
      </c>
    </row>
    <row r="2" spans="1:15" x14ac:dyDescent="0.3">
      <c r="A2" s="832" t="s">
        <v>532</v>
      </c>
      <c r="B2" s="311" t="s">
        <v>411</v>
      </c>
      <c r="C2" s="211"/>
      <c r="D2" s="211"/>
      <c r="E2" s="211"/>
      <c r="F2" s="211"/>
      <c r="G2" s="211"/>
      <c r="H2" s="211"/>
      <c r="I2" s="211"/>
      <c r="J2" s="211"/>
      <c r="K2" s="211"/>
      <c r="L2" s="211"/>
      <c r="M2" s="832" t="s">
        <v>533</v>
      </c>
      <c r="N2" s="425">
        <v>2</v>
      </c>
    </row>
    <row r="3" spans="1:15" x14ac:dyDescent="0.3">
      <c r="A3" s="832" t="s">
        <v>534</v>
      </c>
      <c r="B3" s="211" t="s">
        <v>2809</v>
      </c>
      <c r="C3" s="211"/>
      <c r="D3" s="211"/>
      <c r="E3" s="211"/>
      <c r="F3" s="211"/>
      <c r="G3" s="211"/>
      <c r="H3" s="211"/>
      <c r="I3" s="211"/>
      <c r="J3" s="832" t="s">
        <v>536</v>
      </c>
      <c r="K3" s="211"/>
      <c r="L3" s="211"/>
      <c r="M3" s="211"/>
      <c r="N3" s="211"/>
    </row>
    <row r="4" spans="1:15" x14ac:dyDescent="0.3">
      <c r="A4" s="832" t="s">
        <v>537</v>
      </c>
      <c r="B4" s="166" t="s">
        <v>467</v>
      </c>
      <c r="C4" s="211"/>
      <c r="D4" s="211"/>
      <c r="E4" s="211"/>
      <c r="F4" s="211"/>
      <c r="G4" s="211"/>
      <c r="H4" s="211"/>
      <c r="I4" s="211"/>
      <c r="J4" s="832" t="s">
        <v>538</v>
      </c>
      <c r="K4" s="211"/>
      <c r="L4" s="211"/>
      <c r="M4" s="832" t="s">
        <v>539</v>
      </c>
      <c r="N4" s="864">
        <f>N2*N1</f>
        <v>691.43400550630759</v>
      </c>
    </row>
    <row r="5" spans="1:15" x14ac:dyDescent="0.3">
      <c r="A5" s="832" t="s">
        <v>540</v>
      </c>
      <c r="B5" s="311" t="s">
        <v>36</v>
      </c>
      <c r="C5" s="211"/>
      <c r="D5" s="211"/>
      <c r="E5" s="211"/>
      <c r="F5" s="211"/>
      <c r="G5" s="211"/>
      <c r="H5" s="211"/>
      <c r="I5" s="211"/>
      <c r="J5" s="832" t="s">
        <v>541</v>
      </c>
      <c r="K5" s="211"/>
      <c r="L5" s="211"/>
      <c r="M5" s="211"/>
      <c r="N5" s="211"/>
    </row>
    <row r="6" spans="1:15" x14ac:dyDescent="0.3">
      <c r="A6" s="832" t="s">
        <v>542</v>
      </c>
      <c r="B6" s="311" t="s">
        <v>2810</v>
      </c>
      <c r="C6" s="211"/>
      <c r="D6" s="211"/>
      <c r="E6" s="211"/>
      <c r="F6" s="211"/>
      <c r="G6" s="211"/>
      <c r="H6" s="211"/>
      <c r="I6" s="211"/>
      <c r="J6" s="211"/>
      <c r="K6" s="211"/>
      <c r="L6" s="211"/>
      <c r="M6" s="211"/>
      <c r="N6" s="211"/>
    </row>
    <row r="7" spans="1:15" x14ac:dyDescent="0.3">
      <c r="A7" s="211"/>
      <c r="B7" s="211"/>
      <c r="C7" s="211"/>
      <c r="D7" s="211"/>
      <c r="E7" s="211"/>
      <c r="F7" s="211"/>
      <c r="G7" s="211"/>
      <c r="H7" s="211"/>
      <c r="I7" s="211"/>
      <c r="J7" s="211"/>
      <c r="K7" s="211"/>
      <c r="L7" s="211"/>
      <c r="M7" s="211"/>
      <c r="N7" s="211"/>
    </row>
    <row r="8" spans="1:15" x14ac:dyDescent="0.3">
      <c r="A8" s="833" t="s">
        <v>544</v>
      </c>
      <c r="B8" s="833" t="s">
        <v>545</v>
      </c>
      <c r="C8" s="833" t="s">
        <v>546</v>
      </c>
      <c r="D8" s="833" t="s">
        <v>28</v>
      </c>
      <c r="E8" s="833" t="s">
        <v>547</v>
      </c>
      <c r="F8" s="211"/>
      <c r="G8" s="211"/>
      <c r="H8" s="211"/>
      <c r="I8" s="211"/>
      <c r="J8" s="211"/>
      <c r="K8" s="211"/>
      <c r="L8" s="211"/>
      <c r="M8" s="211"/>
      <c r="N8" s="211"/>
    </row>
    <row r="9" spans="1:15" x14ac:dyDescent="0.3">
      <c r="A9" s="183">
        <v>10</v>
      </c>
      <c r="B9" s="865" t="s">
        <v>2739</v>
      </c>
      <c r="C9" s="185">
        <f>'SU 08001'!N1</f>
        <v>305</v>
      </c>
      <c r="D9" s="414">
        <v>1</v>
      </c>
      <c r="E9" s="210">
        <f>C9*D9</f>
        <v>305</v>
      </c>
      <c r="F9" s="211"/>
      <c r="G9" s="211"/>
      <c r="H9" s="211"/>
      <c r="I9" s="211"/>
      <c r="J9" s="211"/>
      <c r="K9" s="211"/>
      <c r="L9" s="211"/>
      <c r="M9" s="211"/>
      <c r="N9" s="211"/>
    </row>
    <row r="10" spans="1:15" x14ac:dyDescent="0.3">
      <c r="A10" s="183">
        <v>20</v>
      </c>
      <c r="B10" s="865" t="s">
        <v>452</v>
      </c>
      <c r="C10" s="185">
        <f>'SU 08002'!N1</f>
        <v>25</v>
      </c>
      <c r="D10" s="414">
        <v>1</v>
      </c>
      <c r="E10" s="210">
        <f>C10*D10</f>
        <v>25</v>
      </c>
      <c r="F10" s="211"/>
      <c r="G10" s="211"/>
      <c r="H10" s="866"/>
      <c r="I10" s="867"/>
      <c r="J10" s="867"/>
      <c r="K10" s="868"/>
      <c r="L10" s="867"/>
      <c r="M10" s="867"/>
      <c r="N10" s="867"/>
      <c r="O10" s="174"/>
    </row>
    <row r="11" spans="1:15" x14ac:dyDescent="0.3">
      <c r="A11" s="183">
        <v>30</v>
      </c>
      <c r="B11" s="183" t="s">
        <v>2811</v>
      </c>
      <c r="C11" s="185">
        <f>'SU 08003'!N1</f>
        <v>7.1511040348000003</v>
      </c>
      <c r="D11" s="414">
        <v>1</v>
      </c>
      <c r="E11" s="210">
        <f>C11*D11</f>
        <v>7.1511040348000003</v>
      </c>
      <c r="F11" s="211"/>
      <c r="G11" s="211"/>
      <c r="H11" s="211"/>
      <c r="I11" s="211"/>
      <c r="J11" s="211"/>
      <c r="K11" s="211"/>
      <c r="L11" s="211"/>
      <c r="M11" s="211"/>
      <c r="N11" s="211"/>
    </row>
    <row r="12" spans="1:15" x14ac:dyDescent="0.3">
      <c r="A12" s="183">
        <v>40</v>
      </c>
      <c r="B12" s="183" t="s">
        <v>2812</v>
      </c>
      <c r="C12" s="185">
        <f>'SU 08004'!N1</f>
        <v>1.5375653850204596</v>
      </c>
      <c r="D12" s="414">
        <v>1</v>
      </c>
      <c r="E12" s="210">
        <f>C12*D12</f>
        <v>1.5375653850204596</v>
      </c>
      <c r="F12" s="211"/>
      <c r="G12" s="211"/>
      <c r="H12" s="211"/>
      <c r="I12" s="211"/>
      <c r="J12" s="211"/>
      <c r="K12" s="211"/>
      <c r="L12" s="211"/>
      <c r="M12" s="211"/>
      <c r="N12" s="211"/>
    </row>
    <row r="13" spans="1:15" x14ac:dyDescent="0.3">
      <c r="A13" s="211"/>
      <c r="B13" s="211"/>
      <c r="C13" s="211"/>
      <c r="D13" s="836" t="s">
        <v>547</v>
      </c>
      <c r="E13" s="869">
        <f>SUM(E9:E12)</f>
        <v>338.68866941982049</v>
      </c>
      <c r="F13" s="211"/>
      <c r="G13" s="211"/>
      <c r="H13" s="211"/>
      <c r="I13" s="211"/>
      <c r="J13" s="211"/>
      <c r="K13" s="211"/>
      <c r="L13" s="211"/>
      <c r="M13" s="211"/>
      <c r="N13" s="211"/>
    </row>
    <row r="14" spans="1:15" x14ac:dyDescent="0.3">
      <c r="A14" s="211"/>
      <c r="B14" s="211"/>
      <c r="C14" s="211"/>
      <c r="D14" s="211"/>
      <c r="E14" s="211"/>
      <c r="F14" s="211"/>
      <c r="G14" s="211"/>
      <c r="H14" s="211"/>
      <c r="I14" s="211"/>
      <c r="J14" s="211"/>
      <c r="K14" s="211"/>
      <c r="L14" s="211"/>
      <c r="M14" s="211"/>
      <c r="N14" s="211"/>
    </row>
    <row r="15" spans="1:15" x14ac:dyDescent="0.3">
      <c r="A15" s="833" t="s">
        <v>544</v>
      </c>
      <c r="B15" s="833" t="s">
        <v>581</v>
      </c>
      <c r="C15" s="833" t="s">
        <v>549</v>
      </c>
      <c r="D15" s="833" t="s">
        <v>550</v>
      </c>
      <c r="E15" s="833" t="s">
        <v>567</v>
      </c>
      <c r="F15" s="833" t="s">
        <v>568</v>
      </c>
      <c r="G15" s="833" t="s">
        <v>569</v>
      </c>
      <c r="H15" s="833" t="s">
        <v>570</v>
      </c>
      <c r="I15" s="833" t="s">
        <v>582</v>
      </c>
      <c r="J15" s="833" t="s">
        <v>583</v>
      </c>
      <c r="K15" s="833" t="s">
        <v>584</v>
      </c>
      <c r="L15" s="833" t="s">
        <v>585</v>
      </c>
      <c r="M15" s="833" t="s">
        <v>28</v>
      </c>
      <c r="N15" s="833" t="s">
        <v>547</v>
      </c>
    </row>
    <row r="16" spans="1:15" x14ac:dyDescent="0.3">
      <c r="A16" s="217">
        <v>10</v>
      </c>
      <c r="B16" s="217" t="s">
        <v>625</v>
      </c>
      <c r="C16" s="193" t="s">
        <v>2813</v>
      </c>
      <c r="D16" s="870">
        <v>10</v>
      </c>
      <c r="E16" s="871">
        <v>4.0000000000000001E-3</v>
      </c>
      <c r="F16" s="183" t="s">
        <v>627</v>
      </c>
      <c r="G16" s="183"/>
      <c r="H16" s="204"/>
      <c r="I16" s="205"/>
      <c r="J16" s="430"/>
      <c r="K16" s="204"/>
      <c r="L16" s="204"/>
      <c r="M16" s="431">
        <v>1</v>
      </c>
      <c r="N16" s="210">
        <f>D16*E16</f>
        <v>0.04</v>
      </c>
    </row>
    <row r="17" spans="1:14" x14ac:dyDescent="0.3">
      <c r="A17" s="872"/>
      <c r="B17" s="872"/>
      <c r="C17" s="615"/>
      <c r="D17" s="873"/>
      <c r="E17" s="874"/>
      <c r="F17" s="311"/>
      <c r="G17" s="311"/>
      <c r="H17" s="875"/>
      <c r="I17" s="876"/>
      <c r="J17" s="877"/>
      <c r="K17" s="875"/>
      <c r="L17" s="875"/>
      <c r="M17" s="836" t="s">
        <v>547</v>
      </c>
      <c r="N17" s="869">
        <f>N16</f>
        <v>0.04</v>
      </c>
    </row>
    <row r="18" spans="1:14" x14ac:dyDescent="0.3">
      <c r="A18" s="872"/>
      <c r="B18" s="878"/>
      <c r="C18" s="615"/>
      <c r="D18" s="873"/>
      <c r="E18" s="311"/>
      <c r="F18" s="311"/>
      <c r="G18" s="311"/>
      <c r="H18" s="875"/>
      <c r="I18" s="876"/>
      <c r="J18" s="877"/>
      <c r="K18" s="875"/>
      <c r="L18" s="875"/>
      <c r="M18" s="211"/>
      <c r="N18" s="211"/>
    </row>
    <row r="19" spans="1:14" x14ac:dyDescent="0.3">
      <c r="A19" s="833" t="s">
        <v>544</v>
      </c>
      <c r="B19" s="833" t="s">
        <v>548</v>
      </c>
      <c r="C19" s="833" t="s">
        <v>549</v>
      </c>
      <c r="D19" s="833" t="s">
        <v>550</v>
      </c>
      <c r="E19" s="833" t="s">
        <v>551</v>
      </c>
      <c r="F19" s="833" t="s">
        <v>28</v>
      </c>
      <c r="G19" s="833" t="s">
        <v>552</v>
      </c>
      <c r="H19" s="833" t="s">
        <v>553</v>
      </c>
      <c r="I19" s="833" t="s">
        <v>547</v>
      </c>
      <c r="J19" s="432"/>
      <c r="K19" s="432"/>
      <c r="L19" s="432"/>
      <c r="M19" s="211"/>
      <c r="N19" s="211"/>
    </row>
    <row r="20" spans="1:14" ht="28.8" x14ac:dyDescent="0.3">
      <c r="A20" s="217">
        <v>10</v>
      </c>
      <c r="B20" s="414" t="s">
        <v>650</v>
      </c>
      <c r="C20" s="193" t="s">
        <v>2742</v>
      </c>
      <c r="D20" s="185">
        <v>0.15</v>
      </c>
      <c r="E20" s="183" t="s">
        <v>593</v>
      </c>
      <c r="F20" s="414">
        <v>12.48</v>
      </c>
      <c r="G20" s="180" t="s">
        <v>679</v>
      </c>
      <c r="H20" s="414">
        <v>2</v>
      </c>
      <c r="I20" s="870">
        <f>F20*D20*H20</f>
        <v>3.7439999999999998</v>
      </c>
      <c r="J20" s="211"/>
      <c r="K20" s="211"/>
      <c r="L20" s="211"/>
      <c r="M20" s="311"/>
      <c r="N20" s="451"/>
    </row>
    <row r="21" spans="1:14" x14ac:dyDescent="0.3">
      <c r="A21" s="217">
        <v>20</v>
      </c>
      <c r="B21" s="180" t="s">
        <v>653</v>
      </c>
      <c r="C21" s="193" t="s">
        <v>2743</v>
      </c>
      <c r="D21" s="829">
        <v>5.25</v>
      </c>
      <c r="E21" s="183" t="s">
        <v>627</v>
      </c>
      <c r="F21" s="871">
        <v>4.0000000000000001E-3</v>
      </c>
      <c r="G21" s="183"/>
      <c r="H21" s="217"/>
      <c r="I21" s="883">
        <f t="shared" ref="I21:I28" si="0">F21*D21</f>
        <v>2.1000000000000001E-2</v>
      </c>
      <c r="J21" s="211"/>
      <c r="K21" s="211"/>
      <c r="L21" s="211"/>
      <c r="M21" s="311"/>
      <c r="N21" s="451"/>
    </row>
    <row r="22" spans="1:14" x14ac:dyDescent="0.3">
      <c r="A22" s="217">
        <v>30</v>
      </c>
      <c r="B22" s="180" t="s">
        <v>557</v>
      </c>
      <c r="C22" s="885" t="s">
        <v>2744</v>
      </c>
      <c r="D22" s="241">
        <v>0.06</v>
      </c>
      <c r="E22" s="315" t="s">
        <v>556</v>
      </c>
      <c r="F22" s="414">
        <v>1</v>
      </c>
      <c r="G22" s="180"/>
      <c r="H22" s="431"/>
      <c r="I22" s="883">
        <f t="shared" si="0"/>
        <v>0.06</v>
      </c>
      <c r="J22" s="877"/>
      <c r="K22" s="875"/>
      <c r="L22" s="875"/>
      <c r="M22" s="311"/>
      <c r="N22" s="451"/>
    </row>
    <row r="23" spans="1:14" x14ac:dyDescent="0.3">
      <c r="A23" s="183">
        <v>40</v>
      </c>
      <c r="B23" s="180" t="s">
        <v>557</v>
      </c>
      <c r="C23" s="414" t="s">
        <v>2745</v>
      </c>
      <c r="D23" s="241">
        <v>0.06</v>
      </c>
      <c r="E23" s="183" t="s">
        <v>556</v>
      </c>
      <c r="F23" s="414">
        <v>1</v>
      </c>
      <c r="G23" s="180"/>
      <c r="H23" s="414"/>
      <c r="I23" s="883">
        <f t="shared" si="0"/>
        <v>0.06</v>
      </c>
      <c r="J23" s="877"/>
      <c r="K23" s="875"/>
      <c r="L23" s="875"/>
      <c r="M23" s="311"/>
      <c r="N23" s="451"/>
    </row>
    <row r="24" spans="1:14" x14ac:dyDescent="0.3">
      <c r="A24" s="217">
        <v>50</v>
      </c>
      <c r="B24" s="180" t="s">
        <v>559</v>
      </c>
      <c r="C24" s="183" t="s">
        <v>2746</v>
      </c>
      <c r="D24" s="852">
        <v>0.75</v>
      </c>
      <c r="E24" s="180" t="s">
        <v>556</v>
      </c>
      <c r="F24" s="414">
        <v>1</v>
      </c>
      <c r="G24" s="180"/>
      <c r="H24" s="414"/>
      <c r="I24" s="883">
        <f t="shared" si="0"/>
        <v>0.75</v>
      </c>
      <c r="J24" s="877"/>
      <c r="K24" s="875"/>
      <c r="L24" s="875"/>
      <c r="M24" s="311"/>
      <c r="N24" s="451"/>
    </row>
    <row r="25" spans="1:14" x14ac:dyDescent="0.3">
      <c r="A25" s="183">
        <v>60</v>
      </c>
      <c r="B25" s="180" t="s">
        <v>616</v>
      </c>
      <c r="C25" s="183" t="s">
        <v>2769</v>
      </c>
      <c r="D25" s="852">
        <v>0.25</v>
      </c>
      <c r="E25" s="180" t="s">
        <v>556</v>
      </c>
      <c r="F25" s="414">
        <v>1</v>
      </c>
      <c r="G25" s="180"/>
      <c r="H25" s="414"/>
      <c r="I25" s="883">
        <f t="shared" si="0"/>
        <v>0.25</v>
      </c>
      <c r="J25" s="877"/>
      <c r="K25" s="875"/>
      <c r="L25" s="875"/>
      <c r="M25" s="311"/>
      <c r="N25" s="872"/>
    </row>
    <row r="26" spans="1:14" x14ac:dyDescent="0.3">
      <c r="A26" s="217">
        <v>70</v>
      </c>
      <c r="B26" s="180" t="s">
        <v>557</v>
      </c>
      <c r="C26" s="414" t="s">
        <v>2745</v>
      </c>
      <c r="D26" s="241">
        <v>0.06</v>
      </c>
      <c r="E26" s="183" t="s">
        <v>556</v>
      </c>
      <c r="F26" s="414">
        <v>1</v>
      </c>
      <c r="G26" s="180"/>
      <c r="H26" s="414"/>
      <c r="I26" s="883">
        <f t="shared" si="0"/>
        <v>0.06</v>
      </c>
      <c r="J26" s="877"/>
      <c r="K26" s="875"/>
      <c r="L26" s="875"/>
      <c r="M26" s="432"/>
      <c r="N26" s="432"/>
    </row>
    <row r="27" spans="1:14" s="900" customFormat="1" ht="15" customHeight="1" x14ac:dyDescent="0.3">
      <c r="A27" s="891">
        <v>80</v>
      </c>
      <c r="B27" s="892" t="s">
        <v>559</v>
      </c>
      <c r="C27" s="893" t="s">
        <v>2748</v>
      </c>
      <c r="D27" s="246">
        <v>0.75</v>
      </c>
      <c r="E27" s="894" t="s">
        <v>556</v>
      </c>
      <c r="F27" s="234">
        <v>1</v>
      </c>
      <c r="G27" s="892"/>
      <c r="H27" s="235"/>
      <c r="I27" s="895">
        <f t="shared" si="0"/>
        <v>0.75</v>
      </c>
      <c r="J27" s="896"/>
      <c r="K27" s="897"/>
      <c r="L27" s="897"/>
      <c r="M27" s="898"/>
      <c r="N27" s="899"/>
    </row>
    <row r="28" spans="1:14" s="900" customFormat="1" ht="15" customHeight="1" x14ac:dyDescent="0.3">
      <c r="A28" s="891">
        <v>90</v>
      </c>
      <c r="B28" s="892" t="s">
        <v>616</v>
      </c>
      <c r="C28" s="232" t="s">
        <v>2769</v>
      </c>
      <c r="D28" s="901">
        <v>0.25</v>
      </c>
      <c r="E28" s="892" t="s">
        <v>556</v>
      </c>
      <c r="F28" s="234">
        <v>1</v>
      </c>
      <c r="G28" s="892"/>
      <c r="H28" s="234"/>
      <c r="I28" s="895">
        <f t="shared" si="0"/>
        <v>0.25</v>
      </c>
      <c r="J28" s="896"/>
      <c r="K28" s="897"/>
      <c r="L28" s="897"/>
      <c r="M28" s="898"/>
      <c r="N28" s="899"/>
    </row>
    <row r="29" spans="1:14" s="900" customFormat="1" ht="15" customHeight="1" x14ac:dyDescent="0.3">
      <c r="A29" s="902"/>
      <c r="B29" s="902"/>
      <c r="C29" s="902"/>
      <c r="D29" s="902"/>
      <c r="E29" s="902"/>
      <c r="F29" s="902"/>
      <c r="G29" s="902"/>
      <c r="H29" s="903" t="s">
        <v>547</v>
      </c>
      <c r="I29" s="904">
        <f>SUM(I20:I28)</f>
        <v>5.9449999999999994</v>
      </c>
      <c r="M29" s="898"/>
    </row>
    <row r="30" spans="1:14" s="900" customFormat="1" ht="15" customHeight="1" x14ac:dyDescent="0.3">
      <c r="M30" s="898"/>
    </row>
    <row r="31" spans="1:14" s="900" customFormat="1" ht="15" customHeight="1" x14ac:dyDescent="0.3">
      <c r="A31" s="905" t="s">
        <v>544</v>
      </c>
      <c r="B31" s="905" t="s">
        <v>566</v>
      </c>
      <c r="C31" s="905" t="s">
        <v>549</v>
      </c>
      <c r="D31" s="905" t="s">
        <v>550</v>
      </c>
      <c r="E31" s="905" t="s">
        <v>567</v>
      </c>
      <c r="F31" s="905" t="s">
        <v>568</v>
      </c>
      <c r="G31" s="905" t="s">
        <v>569</v>
      </c>
      <c r="H31" s="905" t="s">
        <v>570</v>
      </c>
      <c r="I31" s="905" t="s">
        <v>28</v>
      </c>
      <c r="J31" s="905" t="s">
        <v>547</v>
      </c>
      <c r="M31" s="898"/>
    </row>
    <row r="32" spans="1:14" s="900" customFormat="1" ht="15" customHeight="1" x14ac:dyDescent="0.3">
      <c r="A32" s="232">
        <v>10</v>
      </c>
      <c r="B32" s="225" t="s">
        <v>1375</v>
      </c>
      <c r="C32" s="232"/>
      <c r="D32" s="906">
        <v>0.28999999999999998</v>
      </c>
      <c r="E32" s="232">
        <v>8</v>
      </c>
      <c r="F32" s="907" t="s">
        <v>573</v>
      </c>
      <c r="G32" s="232">
        <v>45</v>
      </c>
      <c r="H32" s="234" t="s">
        <v>573</v>
      </c>
      <c r="I32" s="908">
        <v>1</v>
      </c>
      <c r="J32" s="909">
        <f>D32*I32</f>
        <v>0.28999999999999998</v>
      </c>
      <c r="M32" s="898"/>
    </row>
    <row r="33" spans="1:14" s="900" customFormat="1" ht="15" customHeight="1" x14ac:dyDescent="0.3">
      <c r="A33" s="232">
        <v>20</v>
      </c>
      <c r="B33" s="225" t="s">
        <v>1375</v>
      </c>
      <c r="C33" s="891"/>
      <c r="D33" s="895">
        <v>0.26</v>
      </c>
      <c r="E33" s="891">
        <v>8</v>
      </c>
      <c r="F33" s="891" t="s">
        <v>573</v>
      </c>
      <c r="G33" s="891">
        <v>40</v>
      </c>
      <c r="H33" s="891" t="s">
        <v>573</v>
      </c>
      <c r="I33" s="910">
        <v>1</v>
      </c>
      <c r="J33" s="909">
        <f>D33*I33</f>
        <v>0.26</v>
      </c>
    </row>
    <row r="34" spans="1:14" s="900" customFormat="1" ht="15" customHeight="1" x14ac:dyDescent="0.3">
      <c r="A34" s="891">
        <v>30</v>
      </c>
      <c r="B34" s="911" t="s">
        <v>618</v>
      </c>
      <c r="C34" s="232"/>
      <c r="D34" s="906">
        <v>0.04</v>
      </c>
      <c r="E34" s="232">
        <v>8</v>
      </c>
      <c r="F34" s="912" t="s">
        <v>573</v>
      </c>
      <c r="G34" s="232"/>
      <c r="H34" s="234"/>
      <c r="I34" s="908">
        <v>2</v>
      </c>
      <c r="J34" s="909">
        <f>D34*I34</f>
        <v>0.08</v>
      </c>
      <c r="M34" s="898"/>
    </row>
    <row r="35" spans="1:14" s="900" customFormat="1" ht="15" customHeight="1" x14ac:dyDescent="0.3">
      <c r="A35" s="232">
        <v>40</v>
      </c>
      <c r="B35" s="911" t="s">
        <v>574</v>
      </c>
      <c r="C35" s="232"/>
      <c r="D35" s="906">
        <v>0.01</v>
      </c>
      <c r="E35" s="232">
        <v>8</v>
      </c>
      <c r="F35" s="912" t="s">
        <v>573</v>
      </c>
      <c r="G35" s="891"/>
      <c r="H35" s="891"/>
      <c r="I35" s="910">
        <v>8</v>
      </c>
      <c r="J35" s="909">
        <f>D35*I35</f>
        <v>0.08</v>
      </c>
      <c r="M35" s="898"/>
    </row>
    <row r="36" spans="1:14" s="900" customFormat="1" ht="15" customHeight="1" x14ac:dyDescent="0.3">
      <c r="A36" s="902"/>
      <c r="B36" s="902"/>
      <c r="C36" s="902"/>
      <c r="D36" s="902"/>
      <c r="E36" s="902"/>
      <c r="F36" s="902"/>
      <c r="G36" s="902"/>
      <c r="H36" s="902"/>
      <c r="I36" s="913" t="s">
        <v>547</v>
      </c>
      <c r="J36" s="914">
        <f>SUM(J32:J35)</f>
        <v>0.71</v>
      </c>
      <c r="M36" s="898"/>
    </row>
    <row r="37" spans="1:14" s="900" customFormat="1" ht="15" customHeight="1" x14ac:dyDescent="0.3">
      <c r="H37" s="915"/>
      <c r="I37" s="916"/>
      <c r="M37" s="898"/>
    </row>
    <row r="38" spans="1:14" s="900" customFormat="1" ht="15" customHeight="1" x14ac:dyDescent="0.3">
      <c r="A38" s="905" t="s">
        <v>544</v>
      </c>
      <c r="B38" s="905" t="s">
        <v>6</v>
      </c>
      <c r="C38" s="905" t="s">
        <v>549</v>
      </c>
      <c r="D38" s="905" t="s">
        <v>550</v>
      </c>
      <c r="E38" s="905" t="s">
        <v>551</v>
      </c>
      <c r="F38" s="905" t="s">
        <v>28</v>
      </c>
      <c r="G38" s="905" t="s">
        <v>691</v>
      </c>
      <c r="H38" s="905" t="s">
        <v>736</v>
      </c>
      <c r="I38" s="905" t="s">
        <v>547</v>
      </c>
      <c r="J38" s="902"/>
      <c r="M38" s="898"/>
    </row>
    <row r="39" spans="1:14" s="900" customFormat="1" ht="15" customHeight="1" x14ac:dyDescent="0.3">
      <c r="A39" s="232">
        <v>10</v>
      </c>
      <c r="B39" s="232" t="s">
        <v>2814</v>
      </c>
      <c r="C39" s="232" t="s">
        <v>2815</v>
      </c>
      <c r="D39" s="909">
        <v>500</v>
      </c>
      <c r="E39" s="232" t="s">
        <v>695</v>
      </c>
      <c r="F39" s="891">
        <v>2</v>
      </c>
      <c r="G39" s="232">
        <v>3000</v>
      </c>
      <c r="H39" s="232">
        <v>1</v>
      </c>
      <c r="I39" s="917">
        <f>D39*F39/G39</f>
        <v>0.33333333333333331</v>
      </c>
      <c r="M39" s="898"/>
    </row>
    <row r="40" spans="1:14" x14ac:dyDescent="0.3">
      <c r="A40" s="902"/>
      <c r="B40" s="902"/>
      <c r="C40" s="902"/>
      <c r="D40" s="902"/>
      <c r="E40" s="902"/>
      <c r="F40" s="902"/>
      <c r="G40" s="902"/>
      <c r="H40" s="913" t="s">
        <v>547</v>
      </c>
      <c r="I40" s="914">
        <f>I39</f>
        <v>0.33333333333333331</v>
      </c>
      <c r="J40" s="902"/>
      <c r="K40" s="900"/>
      <c r="L40" s="900"/>
      <c r="M40" s="900"/>
      <c r="N40" s="900"/>
    </row>
  </sheetData>
  <pageMargins left="0.7" right="0.7" top="0.75" bottom="0.75" header="0.3" footer="0.3"/>
  <pageSetup paperSize="9" scale="62" orientation="landscape" r:id="rId1"/>
</worksheet>
</file>

<file path=xl/worksheets/sheet3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1"/>
  <sheetViews>
    <sheetView showGridLines="0" workbookViewId="0"/>
  </sheetViews>
  <sheetFormatPr defaultColWidth="11.5546875" defaultRowHeight="14.4" x14ac:dyDescent="0.3"/>
  <cols>
    <col min="2" max="2" width="33.44140625" customWidth="1"/>
    <col min="13" max="13" width="15.33203125" customWidth="1"/>
    <col min="14" max="14" width="14.88671875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N10</f>
        <v>305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2816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450</v>
      </c>
      <c r="D4" s="837" t="s">
        <v>541</v>
      </c>
      <c r="J4" s="837" t="s">
        <v>538</v>
      </c>
      <c r="M4" s="837" t="s">
        <v>539</v>
      </c>
      <c r="N4" s="164">
        <f>N2*N1</f>
        <v>610</v>
      </c>
    </row>
    <row r="5" spans="1:14" x14ac:dyDescent="0.3">
      <c r="A5" s="837" t="s">
        <v>537</v>
      </c>
      <c r="B5" s="166" t="s">
        <v>469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256" t="s">
        <v>2751</v>
      </c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x14ac:dyDescent="0.3">
      <c r="A10" s="168">
        <v>10</v>
      </c>
      <c r="B10" s="225" t="s">
        <v>2751</v>
      </c>
      <c r="C10" s="168" t="s">
        <v>450</v>
      </c>
      <c r="D10" s="170">
        <v>305</v>
      </c>
      <c r="E10" s="168"/>
      <c r="F10" s="168"/>
      <c r="G10" s="168"/>
      <c r="H10" s="219"/>
      <c r="I10" s="220"/>
      <c r="J10" s="221"/>
      <c r="K10" s="219"/>
      <c r="L10" s="179"/>
      <c r="M10" s="222">
        <v>1</v>
      </c>
      <c r="N10" s="223">
        <f>M10*D10</f>
        <v>305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N10</f>
        <v>305</v>
      </c>
    </row>
  </sheetData>
  <pageMargins left="0.7" right="0.7" top="0.75" bottom="0.75" header="0.3" footer="0.3"/>
  <pageSetup paperSize="9" scale="68" orientation="landscape" r:id="rId1"/>
</worksheet>
</file>

<file path=xl/worksheets/sheet3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1"/>
  <sheetViews>
    <sheetView showGridLines="0" workbookViewId="0"/>
  </sheetViews>
  <sheetFormatPr defaultColWidth="11.44140625" defaultRowHeight="14.4" x14ac:dyDescent="0.3"/>
  <cols>
    <col min="2" max="2" width="23.6640625" customWidth="1"/>
    <col min="3" max="3" width="23.88671875" customWidth="1"/>
    <col min="13" max="13" width="13.6640625" bestFit="1" customWidth="1"/>
    <col min="14" max="14" width="13.5546875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</f>
        <v>25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2816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452</v>
      </c>
      <c r="D4" s="837" t="s">
        <v>541</v>
      </c>
      <c r="J4" s="837" t="s">
        <v>538</v>
      </c>
      <c r="M4" s="837" t="s">
        <v>539</v>
      </c>
      <c r="N4" s="164">
        <f>N1*N2</f>
        <v>50</v>
      </c>
    </row>
    <row r="5" spans="1:14" x14ac:dyDescent="0.3">
      <c r="A5" s="837" t="s">
        <v>537</v>
      </c>
      <c r="B5" s="166" t="s">
        <v>470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/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225" t="s">
        <v>2752</v>
      </c>
      <c r="C10" s="218" t="s">
        <v>2753</v>
      </c>
      <c r="D10" s="170">
        <v>25</v>
      </c>
      <c r="E10" s="168"/>
      <c r="F10" s="168"/>
      <c r="G10" s="168"/>
      <c r="H10" s="219"/>
      <c r="I10" s="220"/>
      <c r="J10" s="221"/>
      <c r="K10" s="219"/>
      <c r="L10" s="219"/>
      <c r="M10" s="222">
        <v>1</v>
      </c>
      <c r="N10" s="223">
        <f>M10*D10</f>
        <v>25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N10</f>
        <v>25</v>
      </c>
    </row>
  </sheetData>
  <pageMargins left="0.7" right="0.7" top="0.75" bottom="0.75" header="0.3" footer="0.3"/>
  <pageSetup paperSize="9" scale="69" orientation="landscape" r:id="rId1"/>
</worksheet>
</file>

<file path=xl/worksheets/sheet3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93"/>
  <sheetViews>
    <sheetView showGridLines="0" workbookViewId="0"/>
  </sheetViews>
  <sheetFormatPr defaultColWidth="11.44140625" defaultRowHeight="14.4" x14ac:dyDescent="0.3"/>
  <cols>
    <col min="2" max="2" width="29" customWidth="1"/>
    <col min="3" max="3" width="23.6640625" customWidth="1"/>
    <col min="7" max="7" width="14.5546875" customWidth="1"/>
    <col min="9" max="9" width="19.5546875" customWidth="1"/>
    <col min="13" max="13" width="13.6640625" bestFit="1" customWidth="1"/>
    <col min="14" max="14" width="12" bestFit="1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N11+I23</f>
        <v>7.1511040348000003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2816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2754</v>
      </c>
      <c r="D4" s="837" t="s">
        <v>541</v>
      </c>
      <c r="J4" s="837" t="s">
        <v>538</v>
      </c>
      <c r="M4" s="837" t="s">
        <v>539</v>
      </c>
      <c r="N4" s="164">
        <f>N2*N1</f>
        <v>14.302208069600001</v>
      </c>
    </row>
    <row r="5" spans="1:14" x14ac:dyDescent="0.3">
      <c r="A5" s="837" t="s">
        <v>537</v>
      </c>
      <c r="B5" s="166" t="s">
        <v>471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/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606</v>
      </c>
      <c r="C10" s="494" t="s">
        <v>2817</v>
      </c>
      <c r="D10" s="170">
        <v>2.25</v>
      </c>
      <c r="E10" s="168">
        <v>41.1</v>
      </c>
      <c r="F10" s="168" t="s">
        <v>573</v>
      </c>
      <c r="G10" s="168">
        <v>29.88</v>
      </c>
      <c r="H10" s="219" t="s">
        <v>573</v>
      </c>
      <c r="I10" s="267" t="s">
        <v>2818</v>
      </c>
      <c r="J10" s="227">
        <f>0.041*0.02988</f>
        <v>1.2250800000000001E-3</v>
      </c>
      <c r="K10" s="179">
        <f>0.026</f>
        <v>2.5999999999999999E-2</v>
      </c>
      <c r="L10" s="179">
        <v>7860</v>
      </c>
      <c r="M10" s="222">
        <v>1</v>
      </c>
      <c r="N10" s="223">
        <f>L10*J10*D10*K10</f>
        <v>0.56330403480000013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J11" s="178"/>
      <c r="K11" s="178"/>
      <c r="L11" s="178"/>
      <c r="M11" s="842" t="s">
        <v>547</v>
      </c>
      <c r="N11" s="918">
        <f>N10</f>
        <v>0.56330403480000013</v>
      </c>
    </row>
    <row r="12" spans="1:14" x14ac:dyDescent="0.3">
      <c r="I12" s="178"/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938"/>
      <c r="K13" s="938"/>
      <c r="L13" s="938"/>
      <c r="M13" s="178"/>
      <c r="N13" s="178"/>
    </row>
    <row r="14" spans="1:14" ht="28.8" x14ac:dyDescent="0.3">
      <c r="A14" s="168">
        <v>10</v>
      </c>
      <c r="B14" s="180" t="s">
        <v>589</v>
      </c>
      <c r="C14" s="184" t="s">
        <v>699</v>
      </c>
      <c r="D14" s="170">
        <v>1.3</v>
      </c>
      <c r="E14" s="168" t="s">
        <v>556</v>
      </c>
      <c r="F14" s="168">
        <v>1</v>
      </c>
      <c r="G14" s="180"/>
      <c r="H14" s="168"/>
      <c r="I14" s="170">
        <f>D14*F14</f>
        <v>1.3</v>
      </c>
    </row>
    <row r="15" spans="1:14" x14ac:dyDescent="0.3">
      <c r="A15" s="168">
        <v>20</v>
      </c>
      <c r="B15" s="180" t="s">
        <v>609</v>
      </c>
      <c r="C15" s="184" t="s">
        <v>1769</v>
      </c>
      <c r="D15" s="243">
        <v>0.04</v>
      </c>
      <c r="E15" s="180" t="s">
        <v>610</v>
      </c>
      <c r="F15" s="179">
        <v>14.8</v>
      </c>
      <c r="G15" s="180" t="s">
        <v>2525</v>
      </c>
      <c r="H15" s="168">
        <f>3</f>
        <v>3</v>
      </c>
      <c r="I15" s="170">
        <f>F15*H15*D15</f>
        <v>1.7760000000000002</v>
      </c>
    </row>
    <row r="16" spans="1:14" ht="28.8" x14ac:dyDescent="0.3">
      <c r="A16" s="168">
        <v>30</v>
      </c>
      <c r="B16" s="180" t="s">
        <v>791</v>
      </c>
      <c r="C16" s="193" t="s">
        <v>2781</v>
      </c>
      <c r="D16" s="323">
        <v>0.35</v>
      </c>
      <c r="E16" s="168" t="s">
        <v>843</v>
      </c>
      <c r="F16" s="168">
        <v>1</v>
      </c>
      <c r="G16" s="180" t="s">
        <v>1829</v>
      </c>
      <c r="H16" s="358">
        <v>1.5</v>
      </c>
      <c r="I16" s="170">
        <f>D16*F16*H16</f>
        <v>0.52499999999999991</v>
      </c>
    </row>
    <row r="17" spans="1:14" x14ac:dyDescent="0.3">
      <c r="A17" s="168">
        <v>40</v>
      </c>
      <c r="B17" s="180" t="s">
        <v>1876</v>
      </c>
      <c r="C17" s="168"/>
      <c r="D17" s="243">
        <v>0.65</v>
      </c>
      <c r="E17" s="180" t="s">
        <v>556</v>
      </c>
      <c r="F17" s="171">
        <v>1</v>
      </c>
      <c r="G17" s="180"/>
      <c r="H17" s="168"/>
      <c r="I17" s="170">
        <f>D17*F17</f>
        <v>0.65</v>
      </c>
      <c r="K17" s="178"/>
      <c r="L17" s="178"/>
      <c r="M17" s="178"/>
      <c r="N17" s="178"/>
    </row>
    <row r="18" spans="1:14" x14ac:dyDescent="0.3">
      <c r="A18" s="168">
        <v>50</v>
      </c>
      <c r="B18" s="180" t="s">
        <v>609</v>
      </c>
      <c r="C18" s="193" t="s">
        <v>1770</v>
      </c>
      <c r="D18" s="323">
        <v>0.04</v>
      </c>
      <c r="E18" s="168" t="s">
        <v>610</v>
      </c>
      <c r="F18" s="316">
        <v>5.2</v>
      </c>
      <c r="G18" s="180" t="s">
        <v>2525</v>
      </c>
      <c r="H18" s="168">
        <v>3</v>
      </c>
      <c r="I18" s="170">
        <f>D18*F18*H18</f>
        <v>0.62400000000000011</v>
      </c>
    </row>
    <row r="19" spans="1:14" x14ac:dyDescent="0.3">
      <c r="A19" s="168">
        <v>60</v>
      </c>
      <c r="B19" s="180" t="s">
        <v>1876</v>
      </c>
      <c r="C19" s="168"/>
      <c r="D19" s="243">
        <v>0.65</v>
      </c>
      <c r="E19" s="180" t="s">
        <v>556</v>
      </c>
      <c r="F19" s="179">
        <v>1</v>
      </c>
      <c r="G19" s="179"/>
      <c r="H19" s="179"/>
      <c r="I19" s="170">
        <f>D19*F19</f>
        <v>0.65</v>
      </c>
    </row>
    <row r="20" spans="1:14" x14ac:dyDescent="0.3">
      <c r="A20" s="168">
        <v>70</v>
      </c>
      <c r="B20" s="180" t="s">
        <v>609</v>
      </c>
      <c r="C20" s="171" t="s">
        <v>2704</v>
      </c>
      <c r="D20" s="323">
        <v>0.04</v>
      </c>
      <c r="E20" s="168" t="s">
        <v>610</v>
      </c>
      <c r="F20" s="179">
        <v>3.1</v>
      </c>
      <c r="G20" s="180" t="s">
        <v>2525</v>
      </c>
      <c r="H20" s="168">
        <v>3</v>
      </c>
      <c r="I20" s="170">
        <f>D20*F20*H20</f>
        <v>0.37200000000000005</v>
      </c>
    </row>
    <row r="21" spans="1:14" x14ac:dyDescent="0.3">
      <c r="A21" s="168">
        <v>80</v>
      </c>
      <c r="B21" s="180" t="s">
        <v>1876</v>
      </c>
      <c r="C21" s="168"/>
      <c r="D21" s="243">
        <v>0.65</v>
      </c>
      <c r="E21" s="180" t="s">
        <v>556</v>
      </c>
      <c r="F21" s="179">
        <v>1</v>
      </c>
      <c r="G21" s="179"/>
      <c r="H21" s="179"/>
      <c r="I21" s="170">
        <f>D21*F21</f>
        <v>0.65</v>
      </c>
    </row>
    <row r="22" spans="1:14" x14ac:dyDescent="0.3">
      <c r="A22" s="168">
        <v>90</v>
      </c>
      <c r="B22" s="180" t="s">
        <v>609</v>
      </c>
      <c r="C22" s="171" t="s">
        <v>2705</v>
      </c>
      <c r="D22" s="323">
        <v>0.04</v>
      </c>
      <c r="E22" s="168" t="s">
        <v>610</v>
      </c>
      <c r="F22" s="179">
        <v>0.34</v>
      </c>
      <c r="G22" s="180" t="s">
        <v>2525</v>
      </c>
      <c r="H22" s="168">
        <v>3</v>
      </c>
      <c r="I22" s="170">
        <f>D22*F22*H22</f>
        <v>4.0800000000000003E-2</v>
      </c>
    </row>
    <row r="23" spans="1:14" x14ac:dyDescent="0.3">
      <c r="H23" s="842" t="s">
        <v>547</v>
      </c>
      <c r="I23" s="841">
        <f>SUM(I14:I22)</f>
        <v>6.5878000000000005</v>
      </c>
    </row>
    <row r="24" spans="1:14" x14ac:dyDescent="0.3">
      <c r="H24" s="153"/>
      <c r="I24" s="153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</sheetData>
  <pageMargins left="0.7" right="0.7" top="0.75" bottom="0.75" header="0.3" footer="0.3"/>
  <pageSetup paperSize="9" scale="64" orientation="landscape" r:id="rId1"/>
  <colBreaks count="1" manualBreakCount="1">
    <brk id="15" max="1048575" man="1"/>
  </colBreaks>
</worksheet>
</file>

<file path=xl/worksheets/sheet3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86"/>
  <sheetViews>
    <sheetView showGridLines="0" workbookViewId="0"/>
  </sheetViews>
  <sheetFormatPr defaultColWidth="11.44140625" defaultRowHeight="14.4" x14ac:dyDescent="0.3"/>
  <cols>
    <col min="2" max="2" width="29" customWidth="1"/>
    <col min="3" max="3" width="23.6640625" customWidth="1"/>
    <col min="7" max="7" width="14.5546875" customWidth="1"/>
    <col min="9" max="9" width="19.5546875" customWidth="1"/>
    <col min="13" max="13" width="13.6640625" bestFit="1" customWidth="1"/>
    <col min="14" max="14" width="12" bestFit="1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N11+I16</f>
        <v>1.5375653850204596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2816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2812</v>
      </c>
      <c r="D4" s="837" t="s">
        <v>541</v>
      </c>
      <c r="J4" s="837" t="s">
        <v>538</v>
      </c>
      <c r="M4" s="837" t="s">
        <v>539</v>
      </c>
      <c r="N4" s="164">
        <f>N2*N1</f>
        <v>3.0751307700409192</v>
      </c>
    </row>
    <row r="5" spans="1:14" x14ac:dyDescent="0.3">
      <c r="A5" s="837" t="s">
        <v>537</v>
      </c>
      <c r="B5" s="161" t="s">
        <v>2819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/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2099</v>
      </c>
      <c r="C10" s="494"/>
      <c r="D10" s="170">
        <v>4.2</v>
      </c>
      <c r="E10" s="168">
        <v>0.02</v>
      </c>
      <c r="F10" s="168" t="s">
        <v>644</v>
      </c>
      <c r="G10" s="168"/>
      <c r="H10" s="219"/>
      <c r="I10" s="267" t="s">
        <v>1347</v>
      </c>
      <c r="J10" s="227">
        <f>E10*E10*PI()/4</f>
        <v>3.1415926535897931E-4</v>
      </c>
      <c r="K10" s="179">
        <v>1.4999999999999999E-2</v>
      </c>
      <c r="L10" s="179">
        <v>7860</v>
      </c>
      <c r="M10" s="222">
        <v>1</v>
      </c>
      <c r="N10" s="223">
        <f>L10*J10*D10*K10</f>
        <v>0.15556538502045938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J11" s="178"/>
      <c r="K11" s="178"/>
      <c r="L11" s="178"/>
      <c r="M11" s="842" t="s">
        <v>547</v>
      </c>
      <c r="N11" s="918">
        <f>N10</f>
        <v>0.15556538502045938</v>
      </c>
    </row>
    <row r="12" spans="1:14" x14ac:dyDescent="0.3">
      <c r="I12" s="178"/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938"/>
      <c r="K13" s="938"/>
      <c r="L13" s="938"/>
      <c r="M13" s="178"/>
      <c r="N13" s="178"/>
    </row>
    <row r="14" spans="1:14" ht="28.8" x14ac:dyDescent="0.3">
      <c r="A14" s="168">
        <v>10</v>
      </c>
      <c r="B14" s="180" t="s">
        <v>589</v>
      </c>
      <c r="C14" s="184" t="s">
        <v>699</v>
      </c>
      <c r="D14" s="170">
        <v>1.3</v>
      </c>
      <c r="E14" s="168" t="s">
        <v>556</v>
      </c>
      <c r="F14" s="168">
        <v>1</v>
      </c>
      <c r="G14" s="180"/>
      <c r="H14" s="168"/>
      <c r="I14" s="170">
        <f>D14*F14</f>
        <v>1.3</v>
      </c>
    </row>
    <row r="15" spans="1:14" x14ac:dyDescent="0.3">
      <c r="A15" s="168">
        <v>20</v>
      </c>
      <c r="B15" s="180" t="s">
        <v>609</v>
      </c>
      <c r="C15" s="184" t="s">
        <v>1769</v>
      </c>
      <c r="D15" s="243">
        <v>0.04</v>
      </c>
      <c r="E15" s="180" t="s">
        <v>610</v>
      </c>
      <c r="F15" s="179">
        <v>2.0499999999999998</v>
      </c>
      <c r="G15" s="180"/>
      <c r="H15" s="168">
        <v>1</v>
      </c>
      <c r="I15" s="170">
        <f>F15*H15*D15</f>
        <v>8.199999999999999E-2</v>
      </c>
    </row>
    <row r="16" spans="1:14" x14ac:dyDescent="0.3">
      <c r="H16" s="842" t="s">
        <v>547</v>
      </c>
      <c r="I16" s="841">
        <f>SUM(I14:I15)</f>
        <v>1.3820000000000001</v>
      </c>
    </row>
    <row r="17" spans="8:9" x14ac:dyDescent="0.3">
      <c r="H17" s="153"/>
      <c r="I17" s="153"/>
    </row>
    <row r="49" spans="1:8" x14ac:dyDescent="0.3">
      <c r="A49" s="161"/>
      <c r="B49" s="161"/>
      <c r="C49" s="161"/>
      <c r="D49" s="161"/>
      <c r="E49" s="161"/>
      <c r="F49" s="161"/>
      <c r="G49" s="161"/>
      <c r="H49" s="161"/>
    </row>
    <row r="50" spans="1:8" x14ac:dyDescent="0.3">
      <c r="A50" s="161"/>
      <c r="B50" s="161"/>
      <c r="C50" s="161"/>
      <c r="D50" s="161"/>
      <c r="E50" s="161"/>
      <c r="F50" s="161"/>
      <c r="G50" s="161"/>
      <c r="H50" s="161"/>
    </row>
    <row r="51" spans="1:8" x14ac:dyDescent="0.3">
      <c r="A51" s="161"/>
      <c r="B51" s="161"/>
      <c r="C51" s="161"/>
      <c r="D51" s="161"/>
      <c r="E51" s="161"/>
      <c r="F51" s="161"/>
      <c r="G51" s="161"/>
      <c r="H51" s="161"/>
    </row>
    <row r="52" spans="1:8" x14ac:dyDescent="0.3">
      <c r="A52" s="161"/>
      <c r="B52" s="161"/>
      <c r="C52" s="161"/>
      <c r="D52" s="161"/>
      <c r="E52" s="161"/>
      <c r="F52" s="161"/>
      <c r="G52" s="161"/>
      <c r="H52" s="161"/>
    </row>
    <row r="53" spans="1:8" x14ac:dyDescent="0.3">
      <c r="A53" s="161"/>
      <c r="B53" s="161"/>
      <c r="C53" s="161"/>
      <c r="D53" s="161"/>
      <c r="E53" s="161"/>
      <c r="F53" s="161"/>
      <c r="G53" s="161"/>
      <c r="H53" s="161"/>
    </row>
    <row r="54" spans="1:8" x14ac:dyDescent="0.3">
      <c r="A54" s="161"/>
      <c r="B54" s="161"/>
      <c r="C54" s="161"/>
      <c r="D54" s="161"/>
      <c r="E54" s="161"/>
      <c r="F54" s="161"/>
      <c r="G54" s="161"/>
      <c r="H54" s="161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</sheetData>
  <pageMargins left="0.7" right="0.7" top="0.75" bottom="0.75" header="0.3" footer="0.3"/>
  <pageSetup paperSize="9" scale="64" orientation="landscape" r:id="rId1"/>
  <colBreaks count="1" manualBreakCount="1">
    <brk id="15" max="1048575" man="1"/>
  </colBreaks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zoomScaleNormal="100" workbookViewId="0">
      <selection activeCell="K21" sqref="K21"/>
    </sheetView>
  </sheetViews>
  <sheetFormatPr defaultColWidth="9.109375" defaultRowHeight="14.4" x14ac:dyDescent="0.3"/>
  <cols>
    <col min="1" max="1" width="11.33203125" style="161" bestFit="1" customWidth="1"/>
    <col min="2" max="2" width="21.44140625" style="161" customWidth="1"/>
    <col min="3" max="3" width="14.33203125" style="161" customWidth="1"/>
    <col min="4" max="4" width="13.5546875" style="161" bestFit="1" customWidth="1"/>
    <col min="5" max="5" width="13" style="161" customWidth="1"/>
    <col min="6" max="6" width="9.6640625" style="161" customWidth="1"/>
    <col min="7" max="7" width="30.5546875" style="161" customWidth="1"/>
    <col min="8" max="8" width="14.33203125" style="161" customWidth="1"/>
    <col min="9" max="9" width="11.6640625" style="161" bestFit="1" customWidth="1"/>
    <col min="10" max="11" width="10.44140625" style="161" bestFit="1" customWidth="1"/>
    <col min="12" max="12" width="9.109375" style="161" bestFit="1" customWidth="1"/>
    <col min="13" max="13" width="18.44140625" style="161" customWidth="1"/>
    <col min="14" max="14" width="14.66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2.3659143762500001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68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773</v>
      </c>
      <c r="D4" s="342" t="s">
        <v>541</v>
      </c>
      <c r="J4" s="342" t="s">
        <v>538</v>
      </c>
      <c r="M4" s="342" t="s">
        <v>539</v>
      </c>
      <c r="N4" s="336">
        <f>N1*N2</f>
        <v>4.7318287525000002</v>
      </c>
    </row>
    <row r="5" spans="1:14" x14ac:dyDescent="0.3">
      <c r="A5" s="342" t="s">
        <v>537</v>
      </c>
      <c r="B5" s="166" t="s">
        <v>76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68" t="s">
        <v>606</v>
      </c>
      <c r="C10" s="168" t="s">
        <v>796</v>
      </c>
      <c r="D10" s="323">
        <v>2.25</v>
      </c>
      <c r="E10" s="168">
        <v>33</v>
      </c>
      <c r="F10" s="168" t="s">
        <v>573</v>
      </c>
      <c r="G10" s="168"/>
      <c r="H10" s="219"/>
      <c r="I10" s="220" t="s">
        <v>795</v>
      </c>
      <c r="J10" s="340">
        <f>16.5*16.5*3.14/1000000</f>
        <v>8.5486500000000001E-4</v>
      </c>
      <c r="K10" s="228">
        <v>0.05</v>
      </c>
      <c r="L10" s="219">
        <v>7860</v>
      </c>
      <c r="M10" s="339">
        <v>1</v>
      </c>
      <c r="N10" s="322">
        <f>IF(J10="",D10*M10,D10*J10*K10*L10*M10)</f>
        <v>0.75591437625000002</v>
      </c>
    </row>
    <row r="11" spans="1:14" s="178" customFormat="1" x14ac:dyDescent="0.3">
      <c r="M11" s="338" t="s">
        <v>547</v>
      </c>
      <c r="N11" s="337">
        <f>SUM(N10:N10)</f>
        <v>0.75591437625000002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31.95" customHeight="1" x14ac:dyDescent="0.3">
      <c r="A14" s="168">
        <v>10</v>
      </c>
      <c r="B14" s="315" t="s">
        <v>589</v>
      </c>
      <c r="C14" s="171"/>
      <c r="D14" s="323">
        <v>1.3</v>
      </c>
      <c r="E14" s="168" t="s">
        <v>556</v>
      </c>
      <c r="F14" s="168">
        <v>1</v>
      </c>
      <c r="G14" s="184" t="s">
        <v>2450</v>
      </c>
      <c r="H14" s="168">
        <f>1/2</f>
        <v>0.5</v>
      </c>
      <c r="I14" s="323">
        <f>IF('EN 01007'!$H14&lt;&gt;"",'EN 01007'!$D14*'EN 01007'!$F14*'EN 01007'!$H14,'EN 01007'!$D14*'EN 01007'!$F14)</f>
        <v>0.65</v>
      </c>
    </row>
    <row r="15" spans="1:14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8</v>
      </c>
      <c r="G15" s="168" t="s">
        <v>784</v>
      </c>
      <c r="H15" s="168">
        <v>3</v>
      </c>
      <c r="I15" s="322">
        <f>IF('EN 01007'!$H15&lt;&gt;"",'EN 01007'!$D15*'EN 01007'!$F15*'EN 01007'!$H15,'EN 01007'!$D15*'EN 01007'!$F15)</f>
        <v>0.96</v>
      </c>
    </row>
    <row r="16" spans="1:14" s="178" customFormat="1" x14ac:dyDescent="0.3">
      <c r="H16" s="338" t="s">
        <v>547</v>
      </c>
      <c r="I16" s="337">
        <f>SUM(I14:I15)</f>
        <v>1.6099999999999999</v>
      </c>
    </row>
    <row r="17" spans="8:9" x14ac:dyDescent="0.3">
      <c r="H17" s="326"/>
      <c r="I17" s="325"/>
    </row>
  </sheetData>
  <pageMargins left="0.5" right="0.5" top="0.75" bottom="0.75" header="0.3" footer="0.3"/>
  <pageSetup paperSize="9" scale="73" orientation="landscape" r:id="rId1"/>
</worksheet>
</file>

<file path=xl/worksheets/sheet3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O37"/>
  <sheetViews>
    <sheetView showGridLines="0" workbookViewId="0"/>
  </sheetViews>
  <sheetFormatPr defaultColWidth="11.44140625" defaultRowHeight="14.4" x14ac:dyDescent="0.3"/>
  <cols>
    <col min="2" max="2" width="31.5546875" customWidth="1"/>
    <col min="3" max="3" width="61.44140625" customWidth="1"/>
    <col min="5" max="5" width="13.5546875" customWidth="1"/>
    <col min="13" max="13" width="13.6640625" bestFit="1" customWidth="1"/>
  </cols>
  <sheetData>
    <row r="1" spans="1:15" x14ac:dyDescent="0.3">
      <c r="A1" s="919" t="s">
        <v>523</v>
      </c>
      <c r="B1" s="161" t="s">
        <v>524</v>
      </c>
      <c r="J1" s="919" t="s">
        <v>528</v>
      </c>
      <c r="K1" s="163">
        <v>81</v>
      </c>
      <c r="M1" s="919" t="s">
        <v>531</v>
      </c>
      <c r="N1" s="164">
        <f>E13+I24+J30+I34</f>
        <v>38.671403333333338</v>
      </c>
    </row>
    <row r="2" spans="1:15" x14ac:dyDescent="0.3">
      <c r="A2" s="919" t="s">
        <v>532</v>
      </c>
      <c r="B2" s="161" t="s">
        <v>411</v>
      </c>
      <c r="M2" s="919" t="s">
        <v>533</v>
      </c>
      <c r="N2" s="165">
        <v>2</v>
      </c>
    </row>
    <row r="3" spans="1:15" x14ac:dyDescent="0.3">
      <c r="A3" s="919" t="s">
        <v>534</v>
      </c>
      <c r="B3" t="s">
        <v>473</v>
      </c>
      <c r="J3" s="919" t="s">
        <v>536</v>
      </c>
    </row>
    <row r="4" spans="1:15" x14ac:dyDescent="0.3">
      <c r="A4" s="919" t="s">
        <v>537</v>
      </c>
      <c r="B4" s="166" t="s">
        <v>472</v>
      </c>
      <c r="J4" s="919" t="s">
        <v>538</v>
      </c>
      <c r="M4" s="919" t="s">
        <v>539</v>
      </c>
      <c r="N4" s="164">
        <f>N1*N2</f>
        <v>77.342806666666675</v>
      </c>
    </row>
    <row r="5" spans="1:15" x14ac:dyDescent="0.3">
      <c r="A5" s="919" t="s">
        <v>540</v>
      </c>
      <c r="B5" s="161" t="s">
        <v>36</v>
      </c>
      <c r="J5" s="919" t="s">
        <v>541</v>
      </c>
    </row>
    <row r="6" spans="1:15" x14ac:dyDescent="0.3">
      <c r="A6" s="919" t="s">
        <v>542</v>
      </c>
      <c r="B6" s="161" t="s">
        <v>2820</v>
      </c>
    </row>
    <row r="8" spans="1:15" x14ac:dyDescent="0.3">
      <c r="A8" s="920" t="s">
        <v>544</v>
      </c>
      <c r="B8" s="920" t="s">
        <v>545</v>
      </c>
      <c r="C8" s="920" t="s">
        <v>546</v>
      </c>
      <c r="D8" s="920" t="s">
        <v>28</v>
      </c>
      <c r="E8" s="920" t="s">
        <v>547</v>
      </c>
    </row>
    <row r="9" spans="1:15" x14ac:dyDescent="0.3">
      <c r="A9" s="168">
        <v>10</v>
      </c>
      <c r="B9" s="166" t="s">
        <v>2760</v>
      </c>
      <c r="C9" s="170">
        <v>5.42</v>
      </c>
      <c r="D9" s="171">
        <v>2</v>
      </c>
      <c r="E9" s="223">
        <f>C9*D9</f>
        <v>10.84</v>
      </c>
    </row>
    <row r="10" spans="1:15" x14ac:dyDescent="0.3">
      <c r="A10" s="168">
        <v>20</v>
      </c>
      <c r="B10" s="169" t="s">
        <v>458</v>
      </c>
      <c r="C10" s="170">
        <v>1.98</v>
      </c>
      <c r="D10" s="171">
        <v>1</v>
      </c>
      <c r="E10" s="223">
        <f>C10*D10</f>
        <v>1.98</v>
      </c>
      <c r="H10" s="173"/>
      <c r="I10" s="174"/>
      <c r="J10" s="174"/>
      <c r="K10" s="175"/>
      <c r="L10" s="174"/>
      <c r="M10" s="174"/>
      <c r="N10" s="174"/>
      <c r="O10" s="174"/>
    </row>
    <row r="11" spans="1:15" x14ac:dyDescent="0.3">
      <c r="A11" s="168">
        <v>30</v>
      </c>
      <c r="B11" s="169" t="s">
        <v>460</v>
      </c>
      <c r="C11" s="170">
        <v>2.65</v>
      </c>
      <c r="D11" s="171">
        <v>2</v>
      </c>
      <c r="E11" s="223">
        <f>D11*C11</f>
        <v>5.3</v>
      </c>
    </row>
    <row r="12" spans="1:15" x14ac:dyDescent="0.3">
      <c r="A12" s="168">
        <v>40</v>
      </c>
      <c r="B12" s="168" t="s">
        <v>2761</v>
      </c>
      <c r="C12" s="223">
        <v>13.2</v>
      </c>
      <c r="D12" s="171">
        <v>1</v>
      </c>
      <c r="E12" s="223">
        <f>C12*D12</f>
        <v>13.2</v>
      </c>
    </row>
    <row r="13" spans="1:15" x14ac:dyDescent="0.3">
      <c r="D13" s="836" t="s">
        <v>547</v>
      </c>
      <c r="E13" s="921">
        <f>E9+E10+E11+E12</f>
        <v>31.32</v>
      </c>
    </row>
    <row r="15" spans="1:15" x14ac:dyDescent="0.3">
      <c r="A15" s="920" t="s">
        <v>544</v>
      </c>
      <c r="B15" s="920" t="s">
        <v>548</v>
      </c>
      <c r="C15" s="920" t="s">
        <v>549</v>
      </c>
      <c r="D15" s="920" t="s">
        <v>550</v>
      </c>
      <c r="E15" s="920" t="s">
        <v>551</v>
      </c>
      <c r="F15" s="920" t="s">
        <v>28</v>
      </c>
      <c r="G15" s="920" t="s">
        <v>552</v>
      </c>
      <c r="H15" s="920" t="s">
        <v>553</v>
      </c>
      <c r="I15" s="920" t="s">
        <v>547</v>
      </c>
      <c r="J15" s="178"/>
      <c r="K15" s="178"/>
      <c r="L15" s="178"/>
      <c r="M15" s="178"/>
      <c r="N15" s="178"/>
    </row>
    <row r="16" spans="1:15" x14ac:dyDescent="0.3">
      <c r="A16" s="179">
        <v>10</v>
      </c>
      <c r="B16" s="171" t="s">
        <v>650</v>
      </c>
      <c r="C16" s="171" t="s">
        <v>2762</v>
      </c>
      <c r="D16" s="170">
        <v>0.15</v>
      </c>
      <c r="E16" s="168" t="s">
        <v>593</v>
      </c>
      <c r="F16" s="316">
        <v>15.61</v>
      </c>
      <c r="G16" s="180"/>
      <c r="H16" s="171"/>
      <c r="I16" s="922">
        <f>D16*F16</f>
        <v>2.3414999999999999</v>
      </c>
    </row>
    <row r="17" spans="1:10" x14ac:dyDescent="0.3">
      <c r="A17" s="179">
        <v>20</v>
      </c>
      <c r="B17" s="180" t="s">
        <v>653</v>
      </c>
      <c r="C17" s="184" t="s">
        <v>2763</v>
      </c>
      <c r="D17" s="734">
        <v>5.25</v>
      </c>
      <c r="E17" s="168" t="s">
        <v>627</v>
      </c>
      <c r="F17">
        <v>8.9999999999999993E-3</v>
      </c>
      <c r="G17" s="180"/>
      <c r="H17" s="179"/>
      <c r="I17" s="922">
        <f t="shared" ref="I17:I23" si="0">D17*F17</f>
        <v>4.7249999999999993E-2</v>
      </c>
    </row>
    <row r="18" spans="1:10" x14ac:dyDescent="0.3">
      <c r="A18" s="179">
        <v>30</v>
      </c>
      <c r="B18" s="171" t="s">
        <v>650</v>
      </c>
      <c r="C18" s="171" t="s">
        <v>2764</v>
      </c>
      <c r="D18" s="170">
        <v>0.15</v>
      </c>
      <c r="E18" s="168" t="s">
        <v>593</v>
      </c>
      <c r="F18" s="168">
        <v>6.28</v>
      </c>
      <c r="G18" s="289" t="s">
        <v>679</v>
      </c>
      <c r="H18" s="168">
        <v>2</v>
      </c>
      <c r="I18" s="922">
        <f>D18*F18*H18</f>
        <v>1.8839999999999999</v>
      </c>
    </row>
    <row r="19" spans="1:10" x14ac:dyDescent="0.3">
      <c r="A19" s="179">
        <v>40</v>
      </c>
      <c r="B19" s="180" t="s">
        <v>954</v>
      </c>
      <c r="C19" s="179" t="s">
        <v>2821</v>
      </c>
      <c r="D19" s="923">
        <v>0.02</v>
      </c>
      <c r="E19" s="180" t="s">
        <v>852</v>
      </c>
      <c r="F19" s="179">
        <v>1.6E-2</v>
      </c>
      <c r="G19" s="180"/>
      <c r="H19" s="179"/>
      <c r="I19" s="922">
        <f t="shared" si="0"/>
        <v>3.2000000000000003E-4</v>
      </c>
    </row>
    <row r="20" spans="1:10" x14ac:dyDescent="0.3">
      <c r="A20" s="179">
        <v>50</v>
      </c>
      <c r="B20" s="285" t="s">
        <v>760</v>
      </c>
      <c r="C20" s="171" t="s">
        <v>2766</v>
      </c>
      <c r="D20" s="323">
        <v>0.1875</v>
      </c>
      <c r="E20" s="168" t="s">
        <v>556</v>
      </c>
      <c r="F20" s="168">
        <v>2</v>
      </c>
      <c r="G20" s="168"/>
      <c r="H20" s="168"/>
      <c r="I20" s="922">
        <f t="shared" si="0"/>
        <v>0.375</v>
      </c>
    </row>
    <row r="21" spans="1:10" x14ac:dyDescent="0.3">
      <c r="A21" s="179">
        <v>60</v>
      </c>
      <c r="B21" s="180" t="s">
        <v>557</v>
      </c>
      <c r="C21" s="171" t="s">
        <v>2767</v>
      </c>
      <c r="D21" s="323">
        <v>0.06</v>
      </c>
      <c r="E21" s="168" t="s">
        <v>556</v>
      </c>
      <c r="F21" s="316">
        <v>1</v>
      </c>
      <c r="G21" s="180"/>
      <c r="H21" s="171"/>
      <c r="I21" s="922">
        <f t="shared" si="0"/>
        <v>0.06</v>
      </c>
      <c r="J21" s="178"/>
    </row>
    <row r="22" spans="1:10" ht="14.25" customHeight="1" x14ac:dyDescent="0.3">
      <c r="A22" s="179">
        <v>70</v>
      </c>
      <c r="B22" s="180" t="s">
        <v>559</v>
      </c>
      <c r="C22" s="168" t="s">
        <v>2768</v>
      </c>
      <c r="D22" s="243">
        <v>0.75</v>
      </c>
      <c r="E22" s="180" t="s">
        <v>556</v>
      </c>
      <c r="F22" s="316">
        <v>1</v>
      </c>
      <c r="G22" s="180"/>
      <c r="H22" s="171"/>
      <c r="I22" s="922">
        <f t="shared" si="0"/>
        <v>0.75</v>
      </c>
    </row>
    <row r="23" spans="1:10" x14ac:dyDescent="0.3">
      <c r="A23" s="179">
        <v>80</v>
      </c>
      <c r="B23" s="180" t="s">
        <v>616</v>
      </c>
      <c r="C23" s="168" t="s">
        <v>2747</v>
      </c>
      <c r="D23" s="243">
        <v>0.25</v>
      </c>
      <c r="E23" s="180" t="s">
        <v>556</v>
      </c>
      <c r="F23" s="316">
        <v>1</v>
      </c>
      <c r="G23" s="180"/>
      <c r="H23" s="171"/>
      <c r="I23" s="922">
        <f t="shared" si="0"/>
        <v>0.25</v>
      </c>
      <c r="J23" s="178"/>
    </row>
    <row r="24" spans="1:10" x14ac:dyDescent="0.3">
      <c r="A24" s="161"/>
      <c r="B24" s="352"/>
      <c r="C24" s="352"/>
      <c r="D24" s="924"/>
      <c r="E24" s="161"/>
      <c r="F24" s="161"/>
      <c r="G24" s="161"/>
      <c r="H24" s="836" t="s">
        <v>547</v>
      </c>
      <c r="I24" s="925">
        <f>SUM(I16:I23)</f>
        <v>5.7080700000000002</v>
      </c>
    </row>
    <row r="26" spans="1:10" x14ac:dyDescent="0.3">
      <c r="A26" s="920" t="s">
        <v>544</v>
      </c>
      <c r="B26" s="920" t="s">
        <v>566</v>
      </c>
      <c r="C26" s="920" t="s">
        <v>549</v>
      </c>
      <c r="D26" s="920" t="s">
        <v>550</v>
      </c>
      <c r="E26" s="920" t="s">
        <v>567</v>
      </c>
      <c r="F26" s="920" t="s">
        <v>568</v>
      </c>
      <c r="G26" s="920" t="s">
        <v>569</v>
      </c>
      <c r="H26" s="920" t="s">
        <v>570</v>
      </c>
      <c r="I26" s="920" t="s">
        <v>28</v>
      </c>
      <c r="J26" s="920" t="s">
        <v>547</v>
      </c>
    </row>
    <row r="27" spans="1:10" x14ac:dyDescent="0.3">
      <c r="A27" s="179">
        <v>10</v>
      </c>
      <c r="B27" s="244" t="s">
        <v>618</v>
      </c>
      <c r="C27" s="168"/>
      <c r="D27" s="186">
        <v>0.04</v>
      </c>
      <c r="E27" s="168">
        <v>8</v>
      </c>
      <c r="F27" s="245" t="s">
        <v>573</v>
      </c>
      <c r="G27" s="168"/>
      <c r="H27" s="171"/>
      <c r="I27" s="169">
        <v>1</v>
      </c>
      <c r="J27" s="170">
        <v>0.04</v>
      </c>
    </row>
    <row r="28" spans="1:10" x14ac:dyDescent="0.3">
      <c r="A28" s="168">
        <v>20</v>
      </c>
      <c r="B28" s="244" t="s">
        <v>574</v>
      </c>
      <c r="C28" s="168"/>
      <c r="D28" s="186">
        <v>0.01</v>
      </c>
      <c r="E28" s="168">
        <v>8</v>
      </c>
      <c r="F28" s="245" t="s">
        <v>573</v>
      </c>
      <c r="G28" s="179"/>
      <c r="H28" s="179"/>
      <c r="I28" s="926">
        <v>1</v>
      </c>
      <c r="J28" s="170">
        <v>0.01</v>
      </c>
    </row>
    <row r="29" spans="1:10" x14ac:dyDescent="0.3">
      <c r="A29" s="168">
        <v>30</v>
      </c>
      <c r="B29" s="225" t="s">
        <v>684</v>
      </c>
      <c r="C29" s="179" t="s">
        <v>2770</v>
      </c>
      <c r="D29" s="186">
        <v>0.26</v>
      </c>
      <c r="E29" s="168">
        <v>8</v>
      </c>
      <c r="F29" s="189" t="s">
        <v>573</v>
      </c>
      <c r="G29" s="168">
        <v>60</v>
      </c>
      <c r="H29" s="171" t="s">
        <v>573</v>
      </c>
      <c r="I29" s="169">
        <v>1</v>
      </c>
      <c r="J29" s="170">
        <v>0.26</v>
      </c>
    </row>
    <row r="30" spans="1:10" x14ac:dyDescent="0.3">
      <c r="A30" s="178"/>
      <c r="B30" s="178"/>
      <c r="C30" s="178"/>
      <c r="D30" s="178"/>
      <c r="E30" s="178"/>
      <c r="F30" s="178"/>
      <c r="G30" s="178"/>
      <c r="H30" s="178"/>
      <c r="I30" s="834" t="s">
        <v>547</v>
      </c>
      <c r="J30" s="925">
        <f>SUM(J27:J29)</f>
        <v>0.31</v>
      </c>
    </row>
    <row r="31" spans="1:10" x14ac:dyDescent="0.3">
      <c r="A31" s="178"/>
      <c r="B31" s="178"/>
      <c r="C31" s="178"/>
      <c r="D31" s="178"/>
      <c r="E31" s="178"/>
      <c r="F31" s="178"/>
      <c r="G31" s="178"/>
      <c r="H31" s="178"/>
    </row>
    <row r="32" spans="1:10" x14ac:dyDescent="0.3">
      <c r="A32" s="920" t="s">
        <v>544</v>
      </c>
      <c r="B32" s="920" t="s">
        <v>6</v>
      </c>
      <c r="C32" s="920" t="s">
        <v>549</v>
      </c>
      <c r="D32" s="920" t="s">
        <v>550</v>
      </c>
      <c r="E32" s="920" t="s">
        <v>551</v>
      </c>
      <c r="F32" s="920" t="s">
        <v>28</v>
      </c>
      <c r="G32" s="920" t="s">
        <v>691</v>
      </c>
      <c r="H32" s="920" t="s">
        <v>736</v>
      </c>
      <c r="I32" s="920" t="s">
        <v>547</v>
      </c>
    </row>
    <row r="33" spans="1:9" x14ac:dyDescent="0.3">
      <c r="A33" s="168">
        <v>10</v>
      </c>
      <c r="B33" s="168" t="s">
        <v>2749</v>
      </c>
      <c r="C33" s="168" t="s">
        <v>2771</v>
      </c>
      <c r="D33" s="170">
        <v>500</v>
      </c>
      <c r="E33" s="168" t="s">
        <v>695</v>
      </c>
      <c r="F33" s="179">
        <v>8</v>
      </c>
      <c r="G33" s="168">
        <v>3000</v>
      </c>
      <c r="H33" s="168">
        <v>1</v>
      </c>
      <c r="I33" s="223">
        <f>D33*F33/G33</f>
        <v>1.3333333333333333</v>
      </c>
    </row>
    <row r="34" spans="1:9" x14ac:dyDescent="0.3">
      <c r="A34" s="178"/>
      <c r="B34" s="178"/>
      <c r="C34" s="178"/>
      <c r="D34" s="178"/>
      <c r="E34" s="178"/>
      <c r="F34" s="178"/>
      <c r="G34" s="178"/>
      <c r="H34" s="836" t="s">
        <v>547</v>
      </c>
      <c r="I34" s="921">
        <f>I33</f>
        <v>1.3333333333333333</v>
      </c>
    </row>
    <row r="37" spans="1:9" x14ac:dyDescent="0.3">
      <c r="A37" s="178"/>
    </row>
  </sheetData>
  <pageMargins left="0.7" right="0.7" top="0.75" bottom="0.75" header="0.3" footer="0.3"/>
  <pageSetup paperSize="9" scale="53" orientation="landscape" r:id="rId1"/>
  <drawing r:id="rId2"/>
</worksheet>
</file>

<file path=xl/worksheets/sheet3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U192"/>
  <sheetViews>
    <sheetView showGridLines="0" workbookViewId="0"/>
  </sheetViews>
  <sheetFormatPr defaultColWidth="11.44140625" defaultRowHeight="14.4" x14ac:dyDescent="0.3"/>
  <cols>
    <col min="2" max="2" width="29" customWidth="1"/>
    <col min="3" max="3" width="27.88671875" customWidth="1"/>
    <col min="7" max="7" width="22.109375" customWidth="1"/>
    <col min="9" max="9" width="19.44140625" customWidth="1"/>
    <col min="13" max="13" width="13.6640625" bestFit="1" customWidth="1"/>
  </cols>
  <sheetData>
    <row r="1" spans="1:21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N11+I16</f>
        <v>2.9418275200000004</v>
      </c>
    </row>
    <row r="2" spans="1:21" x14ac:dyDescent="0.3">
      <c r="A2" s="837" t="s">
        <v>532</v>
      </c>
      <c r="B2" s="161" t="s">
        <v>411</v>
      </c>
      <c r="C2" s="318" t="s">
        <v>2633</v>
      </c>
      <c r="D2" s="843" t="s">
        <v>536</v>
      </c>
      <c r="M2" s="837" t="s">
        <v>533</v>
      </c>
      <c r="N2" s="165">
        <v>4</v>
      </c>
    </row>
    <row r="3" spans="1:21" x14ac:dyDescent="0.3">
      <c r="A3" s="837" t="s">
        <v>534</v>
      </c>
      <c r="B3" t="s">
        <v>2822</v>
      </c>
      <c r="D3" s="837" t="s">
        <v>538</v>
      </c>
      <c r="J3" s="837" t="s">
        <v>536</v>
      </c>
    </row>
    <row r="4" spans="1:21" x14ac:dyDescent="0.3">
      <c r="A4" s="837" t="s">
        <v>545</v>
      </c>
      <c r="B4" s="166" t="s">
        <v>2823</v>
      </c>
      <c r="D4" s="837" t="s">
        <v>541</v>
      </c>
      <c r="J4" s="837" t="s">
        <v>538</v>
      </c>
      <c r="M4" s="837" t="s">
        <v>539</v>
      </c>
      <c r="N4" s="164">
        <f>N1*N2</f>
        <v>11.767310080000001</v>
      </c>
    </row>
    <row r="5" spans="1:21" x14ac:dyDescent="0.3">
      <c r="A5" s="837" t="s">
        <v>537</v>
      </c>
      <c r="B5" s="166" t="s">
        <v>474</v>
      </c>
      <c r="J5" s="837" t="s">
        <v>541</v>
      </c>
    </row>
    <row r="6" spans="1:21" x14ac:dyDescent="0.3">
      <c r="A6" s="837" t="s">
        <v>540</v>
      </c>
      <c r="B6" s="161" t="s">
        <v>36</v>
      </c>
    </row>
    <row r="7" spans="1:21" x14ac:dyDescent="0.3">
      <c r="A7" s="837" t="s">
        <v>542</v>
      </c>
      <c r="B7" s="161"/>
    </row>
    <row r="9" spans="1:2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21" ht="28.8" x14ac:dyDescent="0.3">
      <c r="A10" s="168">
        <v>10</v>
      </c>
      <c r="B10" s="190" t="s">
        <v>606</v>
      </c>
      <c r="C10" s="218" t="s">
        <v>2824</v>
      </c>
      <c r="D10" s="170">
        <v>2.25</v>
      </c>
      <c r="E10" s="168">
        <v>0.108</v>
      </c>
      <c r="F10" s="168" t="s">
        <v>644</v>
      </c>
      <c r="G10" s="168">
        <v>5.1999999999999998E-2</v>
      </c>
      <c r="H10" s="219" t="s">
        <v>644</v>
      </c>
      <c r="I10" s="267" t="s">
        <v>2825</v>
      </c>
      <c r="J10" s="220">
        <f>E10*G10</f>
        <v>5.6159999999999995E-3</v>
      </c>
      <c r="K10" s="228">
        <v>6.0000000000000001E-3</v>
      </c>
      <c r="L10" s="179">
        <v>7860</v>
      </c>
      <c r="M10" s="222">
        <v>2</v>
      </c>
      <c r="N10" s="223">
        <f>L10*J10*K10*M10*D10</f>
        <v>1.1918275200000001</v>
      </c>
    </row>
    <row r="11" spans="1:21" x14ac:dyDescent="0.3">
      <c r="A11" s="178"/>
      <c r="B11" s="178"/>
      <c r="C11" s="178"/>
      <c r="D11" s="178"/>
      <c r="E11" s="178"/>
      <c r="F11" s="178"/>
      <c r="G11" s="178"/>
      <c r="H11" s="178"/>
      <c r="J11" s="178"/>
      <c r="K11" s="178"/>
      <c r="L11" s="178"/>
      <c r="M11" s="840" t="s">
        <v>547</v>
      </c>
      <c r="N11" s="841">
        <f>N10</f>
        <v>1.1918275200000001</v>
      </c>
    </row>
    <row r="12" spans="1:21" x14ac:dyDescent="0.3">
      <c r="I12" s="178"/>
    </row>
    <row r="13" spans="1:2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21" ht="28.8" x14ac:dyDescent="0.3">
      <c r="A14" s="168">
        <v>10</v>
      </c>
      <c r="B14" s="180" t="s">
        <v>589</v>
      </c>
      <c r="C14" s="184" t="s">
        <v>2775</v>
      </c>
      <c r="D14" s="170">
        <v>1.3</v>
      </c>
      <c r="E14" s="168" t="s">
        <v>556</v>
      </c>
      <c r="F14" s="168">
        <v>1</v>
      </c>
      <c r="G14" s="180" t="s">
        <v>2829</v>
      </c>
      <c r="H14" s="168">
        <f>1/4</f>
        <v>0.25</v>
      </c>
      <c r="I14" s="170">
        <f>H14*F14*D14</f>
        <v>0.32500000000000001</v>
      </c>
      <c r="J14" s="178"/>
      <c r="K14" s="178"/>
      <c r="L14" s="178"/>
      <c r="M14" s="178"/>
      <c r="N14" s="178"/>
    </row>
    <row r="15" spans="1:21" x14ac:dyDescent="0.3">
      <c r="A15" s="168">
        <v>20</v>
      </c>
      <c r="B15" s="171" t="s">
        <v>2826</v>
      </c>
      <c r="C15" s="218" t="s">
        <v>2787</v>
      </c>
      <c r="D15" s="734">
        <v>0.01</v>
      </c>
      <c r="E15" s="180" t="s">
        <v>593</v>
      </c>
      <c r="F15" s="316">
        <v>47.5</v>
      </c>
      <c r="G15" s="180" t="s">
        <v>598</v>
      </c>
      <c r="H15" s="168">
        <v>3</v>
      </c>
      <c r="I15" s="170">
        <f>H15*F15*D15</f>
        <v>1.425</v>
      </c>
    </row>
    <row r="16" spans="1:21" x14ac:dyDescent="0.3">
      <c r="A16" s="178"/>
      <c r="B16" s="178"/>
      <c r="C16" s="178"/>
      <c r="D16" s="178"/>
      <c r="E16" s="178"/>
      <c r="F16" s="178"/>
      <c r="G16" s="178"/>
      <c r="H16" s="840" t="s">
        <v>547</v>
      </c>
      <c r="I16" s="841">
        <f>I15+I14</f>
        <v>1.75</v>
      </c>
      <c r="J16" s="178"/>
      <c r="K16" s="178"/>
      <c r="L16" s="178"/>
      <c r="M16" s="178"/>
      <c r="N16" s="178"/>
      <c r="P16" s="178"/>
      <c r="Q16" s="178"/>
      <c r="R16" s="178"/>
      <c r="S16" s="178"/>
      <c r="T16" s="178"/>
      <c r="U16" s="178"/>
    </row>
    <row r="17" spans="8:9" x14ac:dyDescent="0.3">
      <c r="H17" s="326"/>
      <c r="I17" s="325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</sheetData>
  <hyperlinks>
    <hyperlink ref="D2" location="'Rocker drawing'!A1" display="FileLink1"/>
  </hyperlinks>
  <pageMargins left="0.7" right="0.7" top="0.75" bottom="0.75" header="0.3" footer="0.3"/>
  <pageSetup paperSize="9" scale="55" orientation="landscape" r:id="rId1"/>
  <colBreaks count="1" manualBreakCount="1">
    <brk id="14" max="1048575" man="1"/>
  </colBreaks>
  <drawing r:id="rId2"/>
</worksheet>
</file>

<file path=xl/worksheets/sheet3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U192"/>
  <sheetViews>
    <sheetView showGridLines="0" workbookViewId="0"/>
  </sheetViews>
  <sheetFormatPr defaultColWidth="11.44140625" defaultRowHeight="14.4" x14ac:dyDescent="0.3"/>
  <cols>
    <col min="2" max="2" width="29" customWidth="1"/>
    <col min="3" max="3" width="25" customWidth="1"/>
    <col min="7" max="7" width="20.33203125" customWidth="1"/>
    <col min="9" max="9" width="17.6640625" customWidth="1"/>
    <col min="13" max="13" width="18.33203125" bestFit="1" customWidth="1"/>
  </cols>
  <sheetData>
    <row r="1" spans="1:21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I17+N11</f>
        <v>1.33433052853</v>
      </c>
    </row>
    <row r="2" spans="1:21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21" x14ac:dyDescent="0.3">
      <c r="A3" s="837" t="s">
        <v>534</v>
      </c>
      <c r="B3" t="s">
        <v>2827</v>
      </c>
      <c r="D3" s="837" t="s">
        <v>538</v>
      </c>
      <c r="J3" s="837" t="s">
        <v>536</v>
      </c>
    </row>
    <row r="4" spans="1:21" x14ac:dyDescent="0.3">
      <c r="A4" s="837" t="s">
        <v>545</v>
      </c>
      <c r="B4" s="166" t="s">
        <v>458</v>
      </c>
      <c r="D4" s="837" t="s">
        <v>541</v>
      </c>
      <c r="J4" s="837" t="s">
        <v>538</v>
      </c>
      <c r="M4" s="837" t="s">
        <v>539</v>
      </c>
      <c r="N4" s="164">
        <f>N1*N2</f>
        <v>2.66866105706</v>
      </c>
    </row>
    <row r="5" spans="1:21" x14ac:dyDescent="0.3">
      <c r="A5" s="837" t="s">
        <v>537</v>
      </c>
      <c r="B5" s="166" t="s">
        <v>475</v>
      </c>
      <c r="J5" s="837" t="s">
        <v>541</v>
      </c>
    </row>
    <row r="6" spans="1:21" x14ac:dyDescent="0.3">
      <c r="A6" s="837" t="s">
        <v>540</v>
      </c>
      <c r="B6" s="161" t="s">
        <v>36</v>
      </c>
    </row>
    <row r="7" spans="1:21" x14ac:dyDescent="0.3">
      <c r="A7" s="837" t="s">
        <v>542</v>
      </c>
      <c r="B7" s="161" t="s">
        <v>2828</v>
      </c>
    </row>
    <row r="9" spans="1:2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21" ht="28.8" x14ac:dyDescent="0.3">
      <c r="A10" s="168">
        <v>10</v>
      </c>
      <c r="B10" s="190" t="s">
        <v>606</v>
      </c>
      <c r="C10" s="218" t="s">
        <v>2777</v>
      </c>
      <c r="D10" s="170">
        <v>2.25</v>
      </c>
      <c r="E10" s="168">
        <v>11</v>
      </c>
      <c r="F10" s="168" t="s">
        <v>573</v>
      </c>
      <c r="G10" s="168"/>
      <c r="H10" s="219"/>
      <c r="I10" s="269" t="s">
        <v>2778</v>
      </c>
      <c r="J10" s="227">
        <f>3.14*(11*10^-3)^2</f>
        <v>3.7994E-4</v>
      </c>
      <c r="K10" s="227">
        <v>1.77E-2</v>
      </c>
      <c r="L10" s="179">
        <v>7860</v>
      </c>
      <c r="M10" s="222">
        <v>1</v>
      </c>
      <c r="N10" s="223">
        <f>M10*L10*K10*J10*D10</f>
        <v>0.11893052853000001</v>
      </c>
    </row>
    <row r="11" spans="1:21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N10</f>
        <v>0.11893052853000001</v>
      </c>
    </row>
    <row r="13" spans="1:2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21" ht="28.8" x14ac:dyDescent="0.3">
      <c r="A14" s="168">
        <v>10</v>
      </c>
      <c r="B14" s="180" t="s">
        <v>589</v>
      </c>
      <c r="C14" s="184" t="s">
        <v>2779</v>
      </c>
      <c r="D14" s="170">
        <v>1.3</v>
      </c>
      <c r="E14" s="168" t="s">
        <v>556</v>
      </c>
      <c r="F14" s="168">
        <v>1</v>
      </c>
      <c r="G14" s="180" t="s">
        <v>2450</v>
      </c>
      <c r="H14" s="168">
        <v>0.5</v>
      </c>
      <c r="I14" s="170">
        <f>F14*D14*H14</f>
        <v>0.65</v>
      </c>
    </row>
    <row r="15" spans="1:21" x14ac:dyDescent="0.3">
      <c r="A15" s="168">
        <v>20</v>
      </c>
      <c r="B15" s="180" t="s">
        <v>609</v>
      </c>
      <c r="C15" s="184" t="s">
        <v>722</v>
      </c>
      <c r="D15" s="170">
        <v>0.04</v>
      </c>
      <c r="E15" s="180" t="s">
        <v>610</v>
      </c>
      <c r="F15" s="316">
        <v>1.7949999999999999</v>
      </c>
      <c r="G15" s="180" t="s">
        <v>2780</v>
      </c>
      <c r="H15" s="168">
        <v>3</v>
      </c>
      <c r="I15" s="170">
        <f>H15*F15*D15</f>
        <v>0.21540000000000001</v>
      </c>
    </row>
    <row r="16" spans="1:21" x14ac:dyDescent="0.3">
      <c r="A16" s="168">
        <v>30</v>
      </c>
      <c r="B16" s="171" t="s">
        <v>1612</v>
      </c>
      <c r="C16" s="168" t="s">
        <v>2781</v>
      </c>
      <c r="D16" s="323">
        <v>0.35</v>
      </c>
      <c r="E16" s="168" t="s">
        <v>843</v>
      </c>
      <c r="F16" s="168">
        <v>1</v>
      </c>
      <c r="G16" s="351"/>
      <c r="H16" s="179"/>
      <c r="I16" s="927">
        <f>D16</f>
        <v>0.35</v>
      </c>
      <c r="J16" s="178"/>
      <c r="K16" s="178"/>
      <c r="L16" s="178"/>
      <c r="M16" s="178"/>
      <c r="N16" s="178"/>
      <c r="P16" s="178"/>
      <c r="Q16" s="178"/>
      <c r="R16" s="178"/>
      <c r="S16" s="178"/>
      <c r="T16" s="178"/>
      <c r="U16" s="178"/>
    </row>
    <row r="17" spans="8:9" x14ac:dyDescent="0.3">
      <c r="H17" s="840" t="s">
        <v>547</v>
      </c>
      <c r="I17" s="841">
        <f>I14+I15+I16</f>
        <v>1.2154</v>
      </c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</sheetData>
  <pageMargins left="0.7" right="0.7" top="0.75" bottom="0.75" header="0.3" footer="0.3"/>
  <pageSetup paperSize="9" scale="61" orientation="landscape" r:id="rId1"/>
</worksheet>
</file>

<file path=xl/worksheets/sheet3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U192"/>
  <sheetViews>
    <sheetView showGridLines="0" workbookViewId="0"/>
  </sheetViews>
  <sheetFormatPr defaultColWidth="11.44140625" defaultRowHeight="14.4" x14ac:dyDescent="0.3"/>
  <cols>
    <col min="2" max="2" width="29" customWidth="1"/>
    <col min="3" max="3" width="28.33203125" customWidth="1"/>
    <col min="7" max="7" width="16.88671875" customWidth="1"/>
    <col min="9" max="9" width="16.33203125" customWidth="1"/>
    <col min="13" max="13" width="13.6640625" bestFit="1" customWidth="1"/>
  </cols>
  <sheetData>
    <row r="1" spans="1:21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1.32</f>
        <v>1.32</v>
      </c>
    </row>
    <row r="2" spans="1:21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21" x14ac:dyDescent="0.3">
      <c r="A3" s="837" t="s">
        <v>534</v>
      </c>
      <c r="B3" t="s">
        <v>2827</v>
      </c>
      <c r="D3" s="837" t="s">
        <v>538</v>
      </c>
      <c r="J3" s="837" t="s">
        <v>536</v>
      </c>
    </row>
    <row r="4" spans="1:21" x14ac:dyDescent="0.3">
      <c r="A4" s="837" t="s">
        <v>545</v>
      </c>
      <c r="B4" s="166" t="s">
        <v>460</v>
      </c>
      <c r="D4" s="837" t="s">
        <v>541</v>
      </c>
      <c r="J4" s="837" t="s">
        <v>538</v>
      </c>
      <c r="M4" s="837" t="s">
        <v>539</v>
      </c>
      <c r="N4" s="164">
        <f>N1*N2</f>
        <v>5.28</v>
      </c>
    </row>
    <row r="5" spans="1:21" x14ac:dyDescent="0.3">
      <c r="A5" s="837" t="s">
        <v>537</v>
      </c>
      <c r="B5" s="166" t="s">
        <v>476</v>
      </c>
      <c r="J5" s="837" t="s">
        <v>541</v>
      </c>
    </row>
    <row r="6" spans="1:21" x14ac:dyDescent="0.3">
      <c r="A6" s="837" t="s">
        <v>540</v>
      </c>
      <c r="B6" s="161" t="s">
        <v>36</v>
      </c>
    </row>
    <row r="7" spans="1:21" x14ac:dyDescent="0.3">
      <c r="A7" s="928" t="s">
        <v>542</v>
      </c>
      <c r="B7" s="161"/>
    </row>
    <row r="8" spans="1:21" x14ac:dyDescent="0.3">
      <c r="A8" s="201"/>
      <c r="B8" s="201"/>
      <c r="C8" s="201"/>
      <c r="D8" s="201"/>
      <c r="E8" s="201"/>
    </row>
    <row r="9" spans="1:21" x14ac:dyDescent="0.3">
      <c r="A9" s="929" t="s">
        <v>544</v>
      </c>
      <c r="B9" s="929" t="s">
        <v>581</v>
      </c>
      <c r="C9" s="929" t="s">
        <v>549</v>
      </c>
      <c r="D9" s="929" t="s">
        <v>550</v>
      </c>
      <c r="E9" s="92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21" ht="28.8" x14ac:dyDescent="0.3">
      <c r="A10" s="168">
        <v>10</v>
      </c>
      <c r="B10" s="168" t="s">
        <v>1706</v>
      </c>
      <c r="C10" s="168" t="s">
        <v>1707</v>
      </c>
      <c r="D10" s="170">
        <v>2.2000000000000002</v>
      </c>
      <c r="E10" s="168">
        <v>5</v>
      </c>
      <c r="F10" s="168" t="s">
        <v>573</v>
      </c>
      <c r="G10" s="168"/>
      <c r="H10" s="219"/>
      <c r="I10" s="269" t="s">
        <v>2782</v>
      </c>
      <c r="J10" s="274">
        <f>3.14*(E10*10^-3)^2</f>
        <v>7.8500000000000011E-5</v>
      </c>
      <c r="K10" s="219">
        <v>1.2E-2</v>
      </c>
      <c r="L10" s="179">
        <v>6400</v>
      </c>
      <c r="M10" s="222">
        <v>1</v>
      </c>
      <c r="N10" s="223">
        <f>M10*L10*K10*J10*D10</f>
        <v>1.3263360000000004E-2</v>
      </c>
    </row>
    <row r="11" spans="1:21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N10</f>
        <v>1.3263360000000004E-2</v>
      </c>
    </row>
    <row r="13" spans="1:2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21" ht="43.2" x14ac:dyDescent="0.3">
      <c r="A14" s="168">
        <v>10</v>
      </c>
      <c r="B14" s="180" t="s">
        <v>589</v>
      </c>
      <c r="C14" s="193" t="s">
        <v>2783</v>
      </c>
      <c r="D14" s="170">
        <v>1.3</v>
      </c>
      <c r="E14" s="168" t="s">
        <v>556</v>
      </c>
      <c r="F14" s="168">
        <v>1</v>
      </c>
      <c r="G14" s="180" t="s">
        <v>2829</v>
      </c>
      <c r="H14" s="168">
        <v>0.25</v>
      </c>
      <c r="I14" s="223">
        <f>D14*H14</f>
        <v>0.32500000000000001</v>
      </c>
      <c r="M14" s="230"/>
      <c r="N14" s="230"/>
      <c r="O14" s="230"/>
    </row>
    <row r="15" spans="1:21" ht="28.8" x14ac:dyDescent="0.3">
      <c r="A15" s="168">
        <v>20</v>
      </c>
      <c r="B15" s="180" t="s">
        <v>609</v>
      </c>
      <c r="C15" s="184" t="s">
        <v>1710</v>
      </c>
      <c r="D15" s="170">
        <v>0.04</v>
      </c>
      <c r="E15" s="180" t="s">
        <v>610</v>
      </c>
      <c r="F15" s="179">
        <v>0.26</v>
      </c>
      <c r="G15" s="180" t="s">
        <v>2784</v>
      </c>
      <c r="H15" s="168">
        <v>1.33</v>
      </c>
      <c r="I15" s="223">
        <f>F15*D15*H15</f>
        <v>1.3832000000000002E-2</v>
      </c>
      <c r="O15" s="230"/>
    </row>
    <row r="16" spans="1:21" x14ac:dyDescent="0.3">
      <c r="A16" s="178"/>
      <c r="B16" s="178"/>
      <c r="C16" s="178"/>
      <c r="D16" s="178"/>
      <c r="E16" s="178"/>
      <c r="F16" s="178"/>
      <c r="G16" s="178"/>
      <c r="H16" s="840" t="s">
        <v>547</v>
      </c>
      <c r="I16" s="841">
        <f>I15+I14</f>
        <v>0.33883200000000002</v>
      </c>
      <c r="J16" s="178"/>
      <c r="K16" s="178"/>
      <c r="L16" s="178"/>
      <c r="M16" s="178"/>
      <c r="N16" s="178"/>
      <c r="P16" s="178"/>
      <c r="Q16" s="178"/>
      <c r="R16" s="178"/>
      <c r="S16" s="178"/>
      <c r="T16" s="178"/>
      <c r="U16" s="178"/>
    </row>
    <row r="17" spans="8:9" x14ac:dyDescent="0.3">
      <c r="H17" s="326"/>
      <c r="I17" s="325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</sheetData>
  <pageMargins left="0.7" right="0.7" top="0.75" bottom="0.75" header="0.3" footer="0.3"/>
  <pageSetup paperSize="9" scale="63" orientation="landscape" r:id="rId1"/>
</worksheet>
</file>

<file path=xl/worksheets/sheet3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P189"/>
  <sheetViews>
    <sheetView showGridLines="0" workbookViewId="0"/>
  </sheetViews>
  <sheetFormatPr defaultColWidth="11.44140625" defaultRowHeight="14.4" x14ac:dyDescent="0.3"/>
  <cols>
    <col min="2" max="2" width="29" customWidth="1"/>
    <col min="3" max="3" width="46.6640625" customWidth="1"/>
    <col min="7" max="7" width="27.109375" customWidth="1"/>
    <col min="9" max="9" width="18.33203125" customWidth="1"/>
    <col min="13" max="13" width="13.6640625" bestFit="1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N11+I25</f>
        <v>13.2030533168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2827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2761</v>
      </c>
      <c r="D4" s="837" t="s">
        <v>541</v>
      </c>
      <c r="J4" s="837" t="s">
        <v>538</v>
      </c>
      <c r="M4" s="837" t="s">
        <v>539</v>
      </c>
      <c r="N4" s="164">
        <f>N1*N2</f>
        <v>26.4061066336</v>
      </c>
    </row>
    <row r="5" spans="1:14" x14ac:dyDescent="0.3">
      <c r="A5" s="837" t="s">
        <v>537</v>
      </c>
      <c r="B5" s="166" t="s">
        <v>477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/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606</v>
      </c>
      <c r="C10" s="218" t="s">
        <v>2830</v>
      </c>
      <c r="D10" s="170">
        <v>2.25</v>
      </c>
      <c r="E10" s="168">
        <v>32</v>
      </c>
      <c r="F10" s="168" t="s">
        <v>573</v>
      </c>
      <c r="G10" s="168">
        <v>58.7</v>
      </c>
      <c r="H10" s="219" t="s">
        <v>573</v>
      </c>
      <c r="I10" s="267" t="s">
        <v>2831</v>
      </c>
      <c r="J10" s="220">
        <v>1.8783999999999999E-3</v>
      </c>
      <c r="K10" s="227">
        <v>4.1700000000000001E-2</v>
      </c>
      <c r="L10" s="179">
        <v>7860</v>
      </c>
      <c r="M10" s="222">
        <v>1</v>
      </c>
      <c r="N10" s="223">
        <f>L10*K10*J10*D10</f>
        <v>1.3852533168000001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J11" s="178"/>
      <c r="K11" s="178"/>
      <c r="L11" s="178"/>
      <c r="M11" s="840" t="s">
        <v>547</v>
      </c>
      <c r="N11" s="918">
        <f>N10</f>
        <v>1.3852533168000001</v>
      </c>
    </row>
    <row r="12" spans="1:14" x14ac:dyDescent="0.3">
      <c r="I12" s="178"/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68" t="s">
        <v>699</v>
      </c>
      <c r="D14" s="170">
        <v>1.3</v>
      </c>
      <c r="E14" s="168" t="s">
        <v>556</v>
      </c>
      <c r="F14" s="168">
        <v>1</v>
      </c>
      <c r="G14" s="180"/>
      <c r="H14" s="168"/>
      <c r="I14" s="170">
        <f>D14*F14</f>
        <v>1.3</v>
      </c>
    </row>
    <row r="15" spans="1:14" x14ac:dyDescent="0.3">
      <c r="A15" s="168">
        <v>20</v>
      </c>
      <c r="B15" s="180" t="s">
        <v>609</v>
      </c>
      <c r="C15" s="184" t="s">
        <v>1769</v>
      </c>
      <c r="D15" s="243">
        <v>0.04</v>
      </c>
      <c r="E15" s="180" t="s">
        <v>610</v>
      </c>
      <c r="F15" s="179">
        <f>30.72</f>
        <v>30.72</v>
      </c>
      <c r="G15" s="180" t="s">
        <v>2525</v>
      </c>
      <c r="H15" s="168">
        <f>3</f>
        <v>3</v>
      </c>
      <c r="I15" s="170">
        <f>H15</f>
        <v>3</v>
      </c>
    </row>
    <row r="16" spans="1:14" x14ac:dyDescent="0.3">
      <c r="A16" s="168">
        <v>30</v>
      </c>
      <c r="B16" s="180" t="s">
        <v>791</v>
      </c>
      <c r="C16" s="193" t="s">
        <v>2781</v>
      </c>
      <c r="D16" s="323">
        <v>0.35</v>
      </c>
      <c r="E16" s="168" t="s">
        <v>843</v>
      </c>
      <c r="F16" s="168">
        <v>1</v>
      </c>
      <c r="G16" s="180" t="s">
        <v>1829</v>
      </c>
      <c r="H16" s="358">
        <v>1.5</v>
      </c>
      <c r="I16" s="170">
        <f>D16*F16*H16</f>
        <v>0.52499999999999991</v>
      </c>
    </row>
    <row r="17" spans="1:16" x14ac:dyDescent="0.3">
      <c r="A17" s="168">
        <v>40</v>
      </c>
      <c r="B17" s="180" t="s">
        <v>1876</v>
      </c>
      <c r="C17" s="168"/>
      <c r="D17" s="243">
        <v>0.65</v>
      </c>
      <c r="E17" s="180" t="s">
        <v>556</v>
      </c>
      <c r="F17" s="171">
        <v>1</v>
      </c>
      <c r="G17" s="180"/>
      <c r="H17" s="168"/>
      <c r="I17" s="170">
        <f t="shared" ref="I17:I24" si="0">D17*F17</f>
        <v>0.65</v>
      </c>
    </row>
    <row r="18" spans="1:16" x14ac:dyDescent="0.3">
      <c r="A18" s="168">
        <v>50</v>
      </c>
      <c r="B18" s="180" t="s">
        <v>609</v>
      </c>
      <c r="C18" s="193" t="s">
        <v>1770</v>
      </c>
      <c r="D18" s="323">
        <v>0.04</v>
      </c>
      <c r="E18" s="168" t="s">
        <v>610</v>
      </c>
      <c r="F18" s="316">
        <v>27.32</v>
      </c>
      <c r="G18" s="180" t="s">
        <v>2525</v>
      </c>
      <c r="H18" s="168">
        <v>3</v>
      </c>
      <c r="I18" s="170">
        <f>D18*F18*H18</f>
        <v>3.2784</v>
      </c>
    </row>
    <row r="19" spans="1:16" x14ac:dyDescent="0.3">
      <c r="A19" s="168">
        <v>60</v>
      </c>
      <c r="B19" s="180" t="s">
        <v>1876</v>
      </c>
      <c r="C19" s="168"/>
      <c r="D19" s="243">
        <v>0.65</v>
      </c>
      <c r="E19" s="180" t="s">
        <v>556</v>
      </c>
      <c r="F19" s="179">
        <v>1</v>
      </c>
      <c r="G19" s="179"/>
      <c r="H19" s="179"/>
      <c r="I19" s="170">
        <f t="shared" si="0"/>
        <v>0.65</v>
      </c>
    </row>
    <row r="20" spans="1:16" x14ac:dyDescent="0.3">
      <c r="A20" s="168">
        <v>70</v>
      </c>
      <c r="B20" s="180" t="s">
        <v>609</v>
      </c>
      <c r="C20" s="171" t="s">
        <v>2704</v>
      </c>
      <c r="D20" s="323">
        <v>0.04</v>
      </c>
      <c r="E20" s="168" t="s">
        <v>610</v>
      </c>
      <c r="F20" s="179">
        <v>2.2200000000000002</v>
      </c>
      <c r="G20" s="180" t="s">
        <v>2525</v>
      </c>
      <c r="H20" s="168">
        <v>3</v>
      </c>
      <c r="I20" s="170">
        <f>D20*F20*H20</f>
        <v>0.26640000000000003</v>
      </c>
      <c r="O20" s="939"/>
      <c r="P20" s="230"/>
    </row>
    <row r="21" spans="1:16" x14ac:dyDescent="0.3">
      <c r="A21" s="168">
        <v>80</v>
      </c>
      <c r="B21" s="180" t="s">
        <v>1876</v>
      </c>
      <c r="C21" s="168"/>
      <c r="D21" s="243">
        <v>0.65</v>
      </c>
      <c r="E21" s="180" t="s">
        <v>556</v>
      </c>
      <c r="F21" s="179">
        <v>1</v>
      </c>
      <c r="G21" s="179"/>
      <c r="H21" s="179"/>
      <c r="I21" s="170">
        <f t="shared" si="0"/>
        <v>0.65</v>
      </c>
      <c r="O21" s="939"/>
      <c r="P21" s="230"/>
    </row>
    <row r="22" spans="1:16" x14ac:dyDescent="0.3">
      <c r="A22" s="168">
        <v>90</v>
      </c>
      <c r="B22" s="180" t="s">
        <v>609</v>
      </c>
      <c r="C22" s="171" t="s">
        <v>2705</v>
      </c>
      <c r="D22" s="323">
        <v>0.04</v>
      </c>
      <c r="E22" s="168" t="s">
        <v>610</v>
      </c>
      <c r="F22" s="179">
        <v>4.1500000000000004</v>
      </c>
      <c r="G22" s="180" t="s">
        <v>2525</v>
      </c>
      <c r="H22" s="168">
        <v>3</v>
      </c>
      <c r="I22" s="170">
        <f>D22*F22*H22</f>
        <v>0.498</v>
      </c>
      <c r="M22" s="230"/>
    </row>
    <row r="23" spans="1:16" x14ac:dyDescent="0.3">
      <c r="A23" s="168">
        <v>100</v>
      </c>
      <c r="B23" s="180" t="s">
        <v>1876</v>
      </c>
      <c r="C23" s="168"/>
      <c r="D23" s="243">
        <v>0.65</v>
      </c>
      <c r="E23" s="180" t="s">
        <v>556</v>
      </c>
      <c r="F23" s="179">
        <v>1</v>
      </c>
      <c r="G23" s="351"/>
      <c r="H23" s="179"/>
      <c r="I23" s="170">
        <f t="shared" si="0"/>
        <v>0.65</v>
      </c>
      <c r="J23" s="178"/>
      <c r="K23" s="178"/>
      <c r="L23" s="178"/>
      <c r="M23" s="178"/>
      <c r="N23" s="178"/>
    </row>
    <row r="24" spans="1:16" x14ac:dyDescent="0.3">
      <c r="A24" s="168">
        <v>110</v>
      </c>
      <c r="B24" s="180" t="s">
        <v>791</v>
      </c>
      <c r="C24" s="168" t="s">
        <v>2832</v>
      </c>
      <c r="D24" s="323">
        <v>0.35</v>
      </c>
      <c r="E24" s="168" t="s">
        <v>843</v>
      </c>
      <c r="F24" s="168">
        <v>1</v>
      </c>
      <c r="G24" s="179"/>
      <c r="H24" s="179"/>
      <c r="I24" s="170">
        <f t="shared" si="0"/>
        <v>0.35</v>
      </c>
    </row>
    <row r="25" spans="1:16" x14ac:dyDescent="0.3">
      <c r="H25" s="840" t="s">
        <v>547</v>
      </c>
      <c r="I25" s="841">
        <f>SUM(I14:I24)</f>
        <v>11.8178</v>
      </c>
    </row>
    <row r="51" spans="1:8" x14ac:dyDescent="0.3">
      <c r="A51" s="161"/>
      <c r="G51" s="161"/>
      <c r="H51" s="161"/>
    </row>
    <row r="52" spans="1:8" x14ac:dyDescent="0.3">
      <c r="A52" s="161"/>
      <c r="B52" s="161"/>
      <c r="C52" s="161"/>
      <c r="D52" s="161"/>
      <c r="E52" s="161"/>
      <c r="F52" s="161"/>
      <c r="G52" s="161"/>
      <c r="H52" s="161"/>
    </row>
    <row r="53" spans="1:8" x14ac:dyDescent="0.3">
      <c r="A53" s="161"/>
      <c r="B53" s="161"/>
      <c r="C53" s="161"/>
      <c r="D53" s="161"/>
      <c r="E53" s="161"/>
      <c r="F53" s="161"/>
      <c r="G53" s="161"/>
      <c r="H53" s="161"/>
    </row>
    <row r="54" spans="1:8" x14ac:dyDescent="0.3">
      <c r="A54" s="161"/>
      <c r="B54" s="161"/>
      <c r="C54" s="161"/>
      <c r="D54" s="161"/>
      <c r="E54" s="161"/>
      <c r="F54" s="161"/>
      <c r="G54" s="161"/>
      <c r="H54" s="161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B189" s="161"/>
      <c r="C189" s="161"/>
      <c r="D189" s="161"/>
      <c r="E189" s="161"/>
      <c r="F189" s="161"/>
    </row>
  </sheetData>
  <pageMargins left="0.7" right="0.7" top="0.75" bottom="0.75" header="0.3" footer="0.3"/>
  <pageSetup paperSize="9" scale="55" orientation="landscape" r:id="rId1"/>
</worksheet>
</file>

<file path=xl/worksheets/sheet3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O43"/>
  <sheetViews>
    <sheetView showGridLines="0" workbookViewId="0"/>
  </sheetViews>
  <sheetFormatPr defaultColWidth="11.44140625" defaultRowHeight="14.4" x14ac:dyDescent="0.3"/>
  <cols>
    <col min="2" max="2" width="24.109375" customWidth="1"/>
    <col min="3" max="3" width="45.33203125" customWidth="1"/>
    <col min="8" max="8" width="15.88671875" bestFit="1" customWidth="1"/>
    <col min="13" max="13" width="13.6640625" bestFit="1" customWidth="1"/>
  </cols>
  <sheetData>
    <row r="1" spans="1:15" x14ac:dyDescent="0.3">
      <c r="A1" s="919" t="s">
        <v>523</v>
      </c>
      <c r="B1" s="161" t="s">
        <v>524</v>
      </c>
      <c r="J1" s="919" t="s">
        <v>528</v>
      </c>
      <c r="K1" s="163">
        <v>81</v>
      </c>
      <c r="M1" s="919" t="s">
        <v>531</v>
      </c>
      <c r="N1" s="164">
        <f>N17+I30+I43+E12+J39</f>
        <v>17.521185069441668</v>
      </c>
    </row>
    <row r="2" spans="1:15" x14ac:dyDescent="0.3">
      <c r="A2" s="919" t="s">
        <v>532</v>
      </c>
      <c r="B2" s="161" t="s">
        <v>411</v>
      </c>
      <c r="M2" s="919" t="s">
        <v>533</v>
      </c>
      <c r="N2" s="165">
        <v>2</v>
      </c>
    </row>
    <row r="3" spans="1:15" x14ac:dyDescent="0.3">
      <c r="A3" s="919" t="s">
        <v>534</v>
      </c>
      <c r="B3" t="s">
        <v>2833</v>
      </c>
      <c r="J3" s="919" t="s">
        <v>536</v>
      </c>
    </row>
    <row r="4" spans="1:15" x14ac:dyDescent="0.3">
      <c r="A4" s="919" t="s">
        <v>537</v>
      </c>
      <c r="B4" s="166" t="s">
        <v>478</v>
      </c>
      <c r="J4" s="919" t="s">
        <v>538</v>
      </c>
      <c r="M4" s="919" t="s">
        <v>539</v>
      </c>
      <c r="N4" s="164">
        <f>N2*N1</f>
        <v>35.042370138883335</v>
      </c>
    </row>
    <row r="5" spans="1:15" x14ac:dyDescent="0.3">
      <c r="A5" s="919" t="s">
        <v>540</v>
      </c>
      <c r="B5" s="161" t="s">
        <v>36</v>
      </c>
      <c r="J5" s="919" t="s">
        <v>541</v>
      </c>
    </row>
    <row r="6" spans="1:15" x14ac:dyDescent="0.3">
      <c r="A6" s="919" t="s">
        <v>542</v>
      </c>
      <c r="B6" s="161" t="s">
        <v>2789</v>
      </c>
    </row>
    <row r="8" spans="1:15" x14ac:dyDescent="0.3">
      <c r="A8" s="920" t="s">
        <v>544</v>
      </c>
      <c r="B8" s="920" t="s">
        <v>545</v>
      </c>
      <c r="C8" s="920" t="s">
        <v>546</v>
      </c>
      <c r="D8" s="920" t="s">
        <v>28</v>
      </c>
      <c r="E8" s="920" t="s">
        <v>547</v>
      </c>
    </row>
    <row r="9" spans="1:15" x14ac:dyDescent="0.3">
      <c r="A9" s="168">
        <v>10</v>
      </c>
      <c r="B9" s="169" t="s">
        <v>2588</v>
      </c>
      <c r="C9" s="170">
        <f>'SU 10001'!N1</f>
        <v>0.44427764137499998</v>
      </c>
      <c r="D9" s="171">
        <v>1</v>
      </c>
      <c r="E9" s="223">
        <f>C9*D9</f>
        <v>0.44427764137499998</v>
      </c>
    </row>
    <row r="10" spans="1:15" x14ac:dyDescent="0.3">
      <c r="A10" s="168">
        <v>20</v>
      </c>
      <c r="B10" s="169" t="s">
        <v>2790</v>
      </c>
      <c r="C10" s="170">
        <f>'SU 10002'!N1</f>
        <v>1.8199953807</v>
      </c>
      <c r="D10" s="171">
        <v>1</v>
      </c>
      <c r="E10" s="223">
        <f>C10*D10</f>
        <v>1.8199953807</v>
      </c>
      <c r="H10" s="173"/>
      <c r="I10" s="174"/>
      <c r="J10" s="174"/>
      <c r="K10" s="175"/>
      <c r="L10" s="174"/>
      <c r="M10" s="174"/>
      <c r="N10" s="174"/>
      <c r="O10" s="174"/>
    </row>
    <row r="11" spans="1:15" x14ac:dyDescent="0.3">
      <c r="A11" s="168">
        <v>30</v>
      </c>
      <c r="B11" s="169" t="s">
        <v>2791</v>
      </c>
      <c r="C11" s="170">
        <f>'SU 10003'!N1</f>
        <v>1.8199953807</v>
      </c>
      <c r="D11" s="171">
        <v>1</v>
      </c>
      <c r="E11" s="223">
        <f>C11</f>
        <v>1.8199953807</v>
      </c>
    </row>
    <row r="12" spans="1:15" x14ac:dyDescent="0.3">
      <c r="D12" s="836" t="s">
        <v>547</v>
      </c>
      <c r="E12" s="921">
        <f>E10+E9+E11</f>
        <v>4.0842684027749998</v>
      </c>
    </row>
    <row r="14" spans="1:15" x14ac:dyDescent="0.3">
      <c r="A14" s="920" t="s">
        <v>544</v>
      </c>
      <c r="B14" s="920" t="s">
        <v>581</v>
      </c>
      <c r="C14" s="920" t="s">
        <v>549</v>
      </c>
      <c r="D14" s="920" t="s">
        <v>550</v>
      </c>
      <c r="E14" s="920" t="s">
        <v>567</v>
      </c>
      <c r="F14" s="920" t="s">
        <v>568</v>
      </c>
      <c r="G14" s="920" t="s">
        <v>569</v>
      </c>
      <c r="H14" s="920" t="s">
        <v>570</v>
      </c>
      <c r="I14" s="920" t="s">
        <v>582</v>
      </c>
      <c r="J14" s="920" t="s">
        <v>583</v>
      </c>
      <c r="K14" s="920" t="s">
        <v>584</v>
      </c>
      <c r="L14" s="920" t="s">
        <v>585</v>
      </c>
      <c r="M14" s="920" t="s">
        <v>28</v>
      </c>
      <c r="N14" s="920" t="s">
        <v>547</v>
      </c>
    </row>
    <row r="15" spans="1:15" x14ac:dyDescent="0.3">
      <c r="A15" s="168">
        <v>10</v>
      </c>
      <c r="B15" s="225" t="s">
        <v>1329</v>
      </c>
      <c r="C15" s="168" t="s">
        <v>2792</v>
      </c>
      <c r="D15" s="170">
        <v>2.5</v>
      </c>
      <c r="E15" s="168">
        <v>8</v>
      </c>
      <c r="F15" s="168" t="s">
        <v>573</v>
      </c>
      <c r="G15" s="168"/>
      <c r="H15" s="219"/>
      <c r="I15" s="220"/>
      <c r="J15" s="221"/>
      <c r="K15" s="219"/>
      <c r="L15" s="219"/>
      <c r="M15" s="222">
        <v>1</v>
      </c>
      <c r="N15" s="322">
        <f>M15*D15</f>
        <v>2.5</v>
      </c>
    </row>
    <row r="16" spans="1:15" x14ac:dyDescent="0.3">
      <c r="A16" s="168">
        <v>20</v>
      </c>
      <c r="B16" s="225" t="s">
        <v>1329</v>
      </c>
      <c r="C16" s="168" t="s">
        <v>2793</v>
      </c>
      <c r="D16" s="170">
        <v>2.5</v>
      </c>
      <c r="E16" s="168">
        <v>8</v>
      </c>
      <c r="F16" s="168" t="s">
        <v>573</v>
      </c>
      <c r="G16" s="168"/>
      <c r="H16" s="219"/>
      <c r="I16" s="220"/>
      <c r="J16" s="221"/>
      <c r="K16" s="219"/>
      <c r="L16" s="219"/>
      <c r="M16" s="222">
        <v>1</v>
      </c>
      <c r="N16" s="322">
        <f>M16*D16</f>
        <v>2.5</v>
      </c>
    </row>
    <row r="17" spans="1:14" x14ac:dyDescent="0.3">
      <c r="A17" s="178"/>
      <c r="B17" s="178"/>
      <c r="C17" s="178"/>
      <c r="D17" s="178"/>
      <c r="E17" s="178"/>
      <c r="F17" s="178"/>
      <c r="G17" s="178"/>
      <c r="H17" s="178"/>
      <c r="I17" s="178"/>
      <c r="J17" s="178"/>
      <c r="K17" s="178"/>
      <c r="L17" s="178"/>
      <c r="M17" s="836" t="s">
        <v>547</v>
      </c>
      <c r="N17" s="921">
        <f>N16+N15</f>
        <v>5</v>
      </c>
    </row>
    <row r="19" spans="1:14" x14ac:dyDescent="0.3">
      <c r="A19" s="920" t="s">
        <v>544</v>
      </c>
      <c r="B19" s="920" t="s">
        <v>548</v>
      </c>
      <c r="C19" s="920" t="s">
        <v>549</v>
      </c>
      <c r="D19" s="920" t="s">
        <v>550</v>
      </c>
      <c r="E19" s="920" t="s">
        <v>551</v>
      </c>
      <c r="F19" s="920" t="s">
        <v>28</v>
      </c>
      <c r="G19" s="920" t="s">
        <v>552</v>
      </c>
      <c r="H19" s="920" t="s">
        <v>553</v>
      </c>
      <c r="I19" s="920" t="s">
        <v>547</v>
      </c>
      <c r="J19" s="178"/>
      <c r="K19" s="178"/>
      <c r="L19" s="178"/>
      <c r="M19" s="178"/>
      <c r="N19" s="178"/>
    </row>
    <row r="20" spans="1:14" x14ac:dyDescent="0.3">
      <c r="A20" s="183">
        <v>10</v>
      </c>
      <c r="B20" s="930" t="s">
        <v>650</v>
      </c>
      <c r="C20" s="193" t="s">
        <v>2575</v>
      </c>
      <c r="D20" s="829">
        <v>0.15</v>
      </c>
      <c r="E20" s="183" t="s">
        <v>593</v>
      </c>
      <c r="F20" s="183">
        <v>4.71</v>
      </c>
      <c r="G20" s="183" t="s">
        <v>2155</v>
      </c>
      <c r="H20" s="183">
        <v>2</v>
      </c>
      <c r="I20" s="185">
        <f>F20*D20*H20</f>
        <v>1.413</v>
      </c>
    </row>
    <row r="21" spans="1:14" x14ac:dyDescent="0.3">
      <c r="A21" s="217">
        <v>20</v>
      </c>
      <c r="B21" s="180" t="s">
        <v>653</v>
      </c>
      <c r="C21" s="193" t="s">
        <v>2794</v>
      </c>
      <c r="D21" s="829">
        <v>5.25</v>
      </c>
      <c r="E21" s="183" t="s">
        <v>627</v>
      </c>
      <c r="F21" s="217">
        <v>8.9999999999999993E-3</v>
      </c>
      <c r="G21" s="183"/>
      <c r="H21" s="217"/>
      <c r="I21" s="883">
        <f>D21*F21</f>
        <v>4.7249999999999993E-2</v>
      </c>
    </row>
    <row r="22" spans="1:14" x14ac:dyDescent="0.3">
      <c r="A22" s="217">
        <v>30</v>
      </c>
      <c r="B22" s="315" t="s">
        <v>674</v>
      </c>
      <c r="C22" s="931" t="s">
        <v>2578</v>
      </c>
      <c r="D22" s="932">
        <v>1.5</v>
      </c>
      <c r="E22" s="180" t="s">
        <v>556</v>
      </c>
      <c r="F22" s="183">
        <v>2</v>
      </c>
      <c r="G22" s="183"/>
      <c r="H22" s="183"/>
      <c r="I22" s="185">
        <f>D22*F22</f>
        <v>3</v>
      </c>
    </row>
    <row r="23" spans="1:14" x14ac:dyDescent="0.3">
      <c r="A23" s="183">
        <v>40</v>
      </c>
      <c r="B23" s="930" t="s">
        <v>616</v>
      </c>
      <c r="C23" s="931" t="s">
        <v>2795</v>
      </c>
      <c r="D23" s="852">
        <v>0.25</v>
      </c>
      <c r="E23" s="180" t="s">
        <v>556</v>
      </c>
      <c r="F23" s="183">
        <v>2</v>
      </c>
      <c r="G23" s="183"/>
      <c r="H23" s="183"/>
      <c r="I23" s="185">
        <f>F23*D23</f>
        <v>0.5</v>
      </c>
    </row>
    <row r="24" spans="1:14" x14ac:dyDescent="0.3">
      <c r="A24" s="217">
        <v>50</v>
      </c>
      <c r="B24" s="930" t="s">
        <v>557</v>
      </c>
      <c r="C24" s="414" t="s">
        <v>2796</v>
      </c>
      <c r="D24" s="241">
        <v>0.06</v>
      </c>
      <c r="E24" s="183" t="s">
        <v>556</v>
      </c>
      <c r="F24" s="414">
        <v>1</v>
      </c>
      <c r="G24" s="180"/>
      <c r="H24" s="414"/>
      <c r="I24" s="185">
        <f t="shared" ref="I24:I29" si="0">D24</f>
        <v>0.06</v>
      </c>
    </row>
    <row r="25" spans="1:14" x14ac:dyDescent="0.3">
      <c r="A25" s="183">
        <v>60</v>
      </c>
      <c r="B25" s="378" t="s">
        <v>559</v>
      </c>
      <c r="C25" s="414" t="s">
        <v>2797</v>
      </c>
      <c r="D25" s="852">
        <v>0.75</v>
      </c>
      <c r="E25" s="180" t="s">
        <v>556</v>
      </c>
      <c r="F25" s="414">
        <v>1</v>
      </c>
      <c r="G25" s="180"/>
      <c r="H25" s="414"/>
      <c r="I25" s="185">
        <f t="shared" si="0"/>
        <v>0.75</v>
      </c>
    </row>
    <row r="26" spans="1:14" x14ac:dyDescent="0.3">
      <c r="A26" s="217">
        <v>70</v>
      </c>
      <c r="B26" s="930" t="s">
        <v>616</v>
      </c>
      <c r="C26" s="414" t="s">
        <v>2769</v>
      </c>
      <c r="D26" s="852">
        <v>0.25</v>
      </c>
      <c r="E26" s="180" t="s">
        <v>556</v>
      </c>
      <c r="F26" s="414">
        <v>1</v>
      </c>
      <c r="G26" s="180"/>
      <c r="H26" s="414"/>
      <c r="I26" s="185">
        <f t="shared" si="0"/>
        <v>0.25</v>
      </c>
    </row>
    <row r="27" spans="1:14" x14ac:dyDescent="0.3">
      <c r="A27" s="183">
        <v>80</v>
      </c>
      <c r="B27" s="930" t="s">
        <v>557</v>
      </c>
      <c r="C27" s="414" t="s">
        <v>2798</v>
      </c>
      <c r="D27" s="241">
        <v>0.06</v>
      </c>
      <c r="E27" s="183" t="s">
        <v>556</v>
      </c>
      <c r="F27" s="414">
        <v>1</v>
      </c>
      <c r="G27" s="180"/>
      <c r="H27" s="414"/>
      <c r="I27" s="185">
        <f t="shared" si="0"/>
        <v>0.06</v>
      </c>
    </row>
    <row r="28" spans="1:14" x14ac:dyDescent="0.3">
      <c r="A28" s="217">
        <v>90</v>
      </c>
      <c r="B28" s="378" t="s">
        <v>559</v>
      </c>
      <c r="C28" s="414" t="s">
        <v>2799</v>
      </c>
      <c r="D28" s="852">
        <v>0.75</v>
      </c>
      <c r="E28" s="180" t="s">
        <v>556</v>
      </c>
      <c r="F28" s="414">
        <v>1</v>
      </c>
      <c r="G28" s="180"/>
      <c r="H28" s="414"/>
      <c r="I28" s="185">
        <f t="shared" si="0"/>
        <v>0.75</v>
      </c>
    </row>
    <row r="29" spans="1:14" x14ac:dyDescent="0.3">
      <c r="A29" s="183">
        <v>100</v>
      </c>
      <c r="B29" s="930" t="s">
        <v>616</v>
      </c>
      <c r="C29" s="414" t="s">
        <v>2769</v>
      </c>
      <c r="D29" s="852">
        <v>0.25</v>
      </c>
      <c r="E29" s="180" t="s">
        <v>556</v>
      </c>
      <c r="F29" s="414">
        <v>1</v>
      </c>
      <c r="G29" s="180"/>
      <c r="H29" s="414"/>
      <c r="I29" s="185">
        <f t="shared" si="0"/>
        <v>0.25</v>
      </c>
    </row>
    <row r="30" spans="1:14" x14ac:dyDescent="0.3">
      <c r="A30" s="178"/>
      <c r="B30" s="178"/>
      <c r="C30" s="178"/>
      <c r="D30" s="178"/>
      <c r="E30" s="178"/>
      <c r="F30" s="178"/>
      <c r="H30" s="834" t="s">
        <v>547</v>
      </c>
      <c r="I30" s="925">
        <f>SUM(I20:I29)</f>
        <v>7.0802499999999995</v>
      </c>
    </row>
    <row r="32" spans="1:14" x14ac:dyDescent="0.3">
      <c r="A32" s="920" t="s">
        <v>544</v>
      </c>
      <c r="B32" s="920" t="s">
        <v>566</v>
      </c>
      <c r="C32" s="920" t="s">
        <v>549</v>
      </c>
      <c r="D32" s="920" t="s">
        <v>550</v>
      </c>
      <c r="E32" s="920" t="s">
        <v>567</v>
      </c>
      <c r="F32" s="920" t="s">
        <v>568</v>
      </c>
      <c r="G32" s="920" t="s">
        <v>569</v>
      </c>
      <c r="H32" s="920" t="s">
        <v>570</v>
      </c>
      <c r="I32" s="920" t="s">
        <v>28</v>
      </c>
      <c r="J32" s="920" t="s">
        <v>547</v>
      </c>
    </row>
    <row r="33" spans="1:10" x14ac:dyDescent="0.3">
      <c r="A33" s="217">
        <v>10</v>
      </c>
      <c r="B33" s="810" t="s">
        <v>618</v>
      </c>
      <c r="C33" s="933" t="s">
        <v>2735</v>
      </c>
      <c r="D33" s="934">
        <v>0.04</v>
      </c>
      <c r="E33" s="183">
        <v>8</v>
      </c>
      <c r="F33" s="437" t="s">
        <v>573</v>
      </c>
      <c r="G33" s="183"/>
      <c r="H33" s="414"/>
      <c r="I33" s="865">
        <v>1</v>
      </c>
      <c r="J33" s="185">
        <f t="shared" ref="J33:J38" si="1">I33*D33</f>
        <v>0.04</v>
      </c>
    </row>
    <row r="34" spans="1:10" x14ac:dyDescent="0.3">
      <c r="A34" s="217">
        <v>20</v>
      </c>
      <c r="B34" s="810" t="s">
        <v>618</v>
      </c>
      <c r="C34" s="933" t="s">
        <v>2800</v>
      </c>
      <c r="D34" s="934">
        <v>0.04</v>
      </c>
      <c r="E34" s="183">
        <v>8</v>
      </c>
      <c r="F34" s="437" t="s">
        <v>573</v>
      </c>
      <c r="G34" s="183"/>
      <c r="H34" s="414"/>
      <c r="I34" s="865">
        <v>1</v>
      </c>
      <c r="J34" s="185">
        <f t="shared" si="1"/>
        <v>0.04</v>
      </c>
    </row>
    <row r="35" spans="1:10" x14ac:dyDescent="0.3">
      <c r="A35" s="183">
        <v>30</v>
      </c>
      <c r="B35" s="190" t="s">
        <v>684</v>
      </c>
      <c r="C35" s="183" t="s">
        <v>2797</v>
      </c>
      <c r="D35" s="934">
        <v>0.21</v>
      </c>
      <c r="E35" s="183">
        <v>8</v>
      </c>
      <c r="F35" s="935" t="s">
        <v>573</v>
      </c>
      <c r="G35" s="183">
        <v>50</v>
      </c>
      <c r="H35" s="414" t="s">
        <v>573</v>
      </c>
      <c r="I35" s="865">
        <v>1</v>
      </c>
      <c r="J35" s="185">
        <f t="shared" si="1"/>
        <v>0.21</v>
      </c>
    </row>
    <row r="36" spans="1:10" x14ac:dyDescent="0.3">
      <c r="A36" s="183">
        <v>40</v>
      </c>
      <c r="B36" s="190" t="s">
        <v>684</v>
      </c>
      <c r="C36" s="183" t="s">
        <v>2799</v>
      </c>
      <c r="D36" s="883">
        <v>0.24</v>
      </c>
      <c r="E36" s="217">
        <v>8</v>
      </c>
      <c r="F36" s="217" t="s">
        <v>573</v>
      </c>
      <c r="G36" s="217">
        <v>55</v>
      </c>
      <c r="H36" s="217" t="s">
        <v>573</v>
      </c>
      <c r="I36" s="871">
        <v>1</v>
      </c>
      <c r="J36" s="185">
        <f t="shared" si="1"/>
        <v>0.24</v>
      </c>
    </row>
    <row r="37" spans="1:10" x14ac:dyDescent="0.3">
      <c r="A37" s="217">
        <v>50</v>
      </c>
      <c r="B37" s="629" t="s">
        <v>618</v>
      </c>
      <c r="C37" s="183"/>
      <c r="D37" s="934">
        <v>0.04</v>
      </c>
      <c r="E37" s="183">
        <v>8</v>
      </c>
      <c r="F37" s="437" t="s">
        <v>573</v>
      </c>
      <c r="G37" s="183"/>
      <c r="H37" s="414"/>
      <c r="I37" s="865">
        <v>2</v>
      </c>
      <c r="J37" s="185">
        <f t="shared" si="1"/>
        <v>0.08</v>
      </c>
    </row>
    <row r="38" spans="1:10" x14ac:dyDescent="0.3">
      <c r="A38" s="183">
        <v>60</v>
      </c>
      <c r="B38" s="629" t="s">
        <v>574</v>
      </c>
      <c r="C38" s="183"/>
      <c r="D38" s="934">
        <v>0.01</v>
      </c>
      <c r="E38" s="183">
        <v>8</v>
      </c>
      <c r="F38" s="437" t="s">
        <v>573</v>
      </c>
      <c r="G38" s="217"/>
      <c r="H38" s="217"/>
      <c r="I38" s="871">
        <v>8</v>
      </c>
      <c r="J38" s="185">
        <f t="shared" si="1"/>
        <v>0.08</v>
      </c>
    </row>
    <row r="39" spans="1:10" x14ac:dyDescent="0.3">
      <c r="A39" s="178"/>
      <c r="B39" s="178"/>
      <c r="C39" s="178"/>
      <c r="D39" s="178"/>
      <c r="E39" s="178"/>
      <c r="F39" s="178"/>
      <c r="G39" s="178"/>
      <c r="H39" s="178"/>
      <c r="I39" s="836" t="s">
        <v>547</v>
      </c>
      <c r="J39" s="921">
        <f>SUM(J33:J38)</f>
        <v>0.69</v>
      </c>
    </row>
    <row r="40" spans="1:10" x14ac:dyDescent="0.3">
      <c r="H40" s="326"/>
      <c r="I40" s="325"/>
    </row>
    <row r="41" spans="1:10" x14ac:dyDescent="0.3">
      <c r="A41" s="920" t="s">
        <v>544</v>
      </c>
      <c r="B41" s="920" t="s">
        <v>6</v>
      </c>
      <c r="C41" s="920" t="s">
        <v>549</v>
      </c>
      <c r="D41" s="920" t="s">
        <v>550</v>
      </c>
      <c r="E41" s="920" t="s">
        <v>551</v>
      </c>
      <c r="F41" s="920" t="s">
        <v>28</v>
      </c>
      <c r="G41" s="920" t="s">
        <v>691</v>
      </c>
      <c r="H41" s="920" t="s">
        <v>736</v>
      </c>
      <c r="I41" s="920" t="s">
        <v>547</v>
      </c>
      <c r="J41" s="178"/>
    </row>
    <row r="42" spans="1:10" x14ac:dyDescent="0.3">
      <c r="A42" s="168">
        <v>10</v>
      </c>
      <c r="B42" s="168" t="s">
        <v>1767</v>
      </c>
      <c r="C42" s="168" t="s">
        <v>1732</v>
      </c>
      <c r="D42" s="170">
        <v>500</v>
      </c>
      <c r="E42" s="168" t="s">
        <v>695</v>
      </c>
      <c r="F42" s="168">
        <v>4</v>
      </c>
      <c r="G42" s="168">
        <v>3000</v>
      </c>
      <c r="H42" s="168">
        <v>1</v>
      </c>
      <c r="I42" s="223">
        <v>0.66666666666666663</v>
      </c>
    </row>
    <row r="43" spans="1:10" x14ac:dyDescent="0.3">
      <c r="A43" s="178"/>
      <c r="B43" s="178"/>
      <c r="C43" s="178"/>
      <c r="D43" s="178"/>
      <c r="E43" s="178"/>
      <c r="F43" s="178"/>
      <c r="G43" s="178"/>
      <c r="H43" s="836" t="s">
        <v>547</v>
      </c>
      <c r="I43" s="921">
        <f>I42</f>
        <v>0.66666666666666663</v>
      </c>
      <c r="J43" s="178"/>
    </row>
  </sheetData>
  <pageMargins left="0.7" right="0.7" top="0.75" bottom="0.75" header="0.3" footer="0.3"/>
  <pageSetup paperSize="9" scale="60" orientation="landscape" r:id="rId1"/>
  <colBreaks count="1" manualBreakCount="1">
    <brk id="16" max="1048575" man="1"/>
  </colBreaks>
  <drawing r:id="rId2"/>
</worksheet>
</file>

<file path=xl/worksheets/sheet3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93"/>
  <sheetViews>
    <sheetView showGridLines="0" workbookViewId="0"/>
  </sheetViews>
  <sheetFormatPr defaultColWidth="11.44140625" defaultRowHeight="14.4" x14ac:dyDescent="0.3"/>
  <cols>
    <col min="2" max="2" width="33.44140625" customWidth="1"/>
    <col min="3" max="3" width="22.44140625" customWidth="1"/>
    <col min="10" max="11" width="12" bestFit="1" customWidth="1"/>
    <col min="13" max="13" width="13.6640625" bestFit="1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N11+I15</f>
        <v>0.44427764137499998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2834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2588</v>
      </c>
      <c r="D4" s="837" t="s">
        <v>541</v>
      </c>
      <c r="J4" s="837" t="s">
        <v>538</v>
      </c>
      <c r="M4" s="837" t="s">
        <v>539</v>
      </c>
      <c r="N4" s="164">
        <f>N1*N2</f>
        <v>0.88855528274999995</v>
      </c>
    </row>
    <row r="5" spans="1:14" x14ac:dyDescent="0.3">
      <c r="A5" s="837" t="s">
        <v>537</v>
      </c>
      <c r="B5" s="166" t="s">
        <v>480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928" t="s">
        <v>542</v>
      </c>
      <c r="B7" s="161"/>
    </row>
    <row r="8" spans="1:14" x14ac:dyDescent="0.3">
      <c r="A8" s="178"/>
      <c r="B8" s="178"/>
      <c r="C8" s="178"/>
      <c r="D8" s="178"/>
      <c r="E8" s="178"/>
      <c r="F8" s="153"/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x14ac:dyDescent="0.3">
      <c r="A10" s="168">
        <v>10</v>
      </c>
      <c r="B10" s="225" t="s">
        <v>894</v>
      </c>
      <c r="C10" s="168" t="s">
        <v>2802</v>
      </c>
      <c r="D10" s="780">
        <v>2.25</v>
      </c>
      <c r="E10" s="168">
        <v>6</v>
      </c>
      <c r="F10" s="168" t="s">
        <v>573</v>
      </c>
      <c r="G10" s="168">
        <v>7.5</v>
      </c>
      <c r="H10" s="219" t="s">
        <v>573</v>
      </c>
      <c r="I10" s="220"/>
      <c r="J10" s="227">
        <f>3.14*(0.0075^2-0.006^2)</f>
        <v>6.3584999999999995E-5</v>
      </c>
      <c r="K10" s="332">
        <v>0.19500000000000001</v>
      </c>
      <c r="L10" s="179">
        <v>7860</v>
      </c>
      <c r="M10" s="222">
        <v>1</v>
      </c>
      <c r="N10" s="223">
        <f>L10*K10*D10*J10</f>
        <v>0.219277641375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N10</f>
        <v>0.219277641375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x14ac:dyDescent="0.3">
      <c r="A14" s="179">
        <v>10</v>
      </c>
      <c r="B14" s="180" t="s">
        <v>668</v>
      </c>
      <c r="C14" s="171" t="s">
        <v>1428</v>
      </c>
      <c r="D14" s="734">
        <v>0.15</v>
      </c>
      <c r="E14" s="168" t="s">
        <v>593</v>
      </c>
      <c r="F14" s="168">
        <v>1.5</v>
      </c>
      <c r="G14" s="168"/>
      <c r="H14" s="168"/>
      <c r="I14" s="170">
        <f>F14*D14</f>
        <v>0.22499999999999998</v>
      </c>
    </row>
    <row r="15" spans="1:14" x14ac:dyDescent="0.3">
      <c r="H15" s="842" t="s">
        <v>547</v>
      </c>
      <c r="I15" s="918">
        <f>I14</f>
        <v>0.22499999999999998</v>
      </c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</sheetData>
  <pageMargins left="0.7" right="0.7" top="0.75" bottom="0.75" header="0.3" footer="0.3"/>
  <pageSetup paperSize="9" scale="66" orientation="landscape" r:id="rId1"/>
</worksheet>
</file>

<file path=xl/worksheets/sheet3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200"/>
  <sheetViews>
    <sheetView showGridLines="0" workbookViewId="0"/>
  </sheetViews>
  <sheetFormatPr defaultColWidth="11.44140625" defaultRowHeight="14.4" x14ac:dyDescent="0.3"/>
  <cols>
    <col min="2" max="2" width="33.44140625" customWidth="1"/>
    <col min="3" max="3" width="30" customWidth="1"/>
    <col min="7" max="7" width="17.44140625" customWidth="1"/>
    <col min="9" max="9" width="23.5546875" customWidth="1"/>
    <col min="10" max="11" width="12" bestFit="1" customWidth="1"/>
    <col min="13" max="13" width="13.6640625" bestFit="1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N11+I19</f>
        <v>1.8199953807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2833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2803</v>
      </c>
      <c r="D4" s="837" t="s">
        <v>541</v>
      </c>
      <c r="J4" s="837" t="s">
        <v>538</v>
      </c>
      <c r="M4" s="837" t="s">
        <v>539</v>
      </c>
      <c r="N4" s="164">
        <f>N2*N1</f>
        <v>3.6399907614</v>
      </c>
    </row>
    <row r="5" spans="1:14" x14ac:dyDescent="0.3">
      <c r="A5" s="837" t="s">
        <v>537</v>
      </c>
      <c r="B5" s="166" t="s">
        <v>481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 t="s">
        <v>2804</v>
      </c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606</v>
      </c>
      <c r="C10" s="494" t="s">
        <v>2805</v>
      </c>
      <c r="D10" s="170">
        <v>2.25</v>
      </c>
      <c r="E10" s="168">
        <v>7</v>
      </c>
      <c r="F10" s="168" t="s">
        <v>573</v>
      </c>
      <c r="G10" s="168"/>
      <c r="H10" s="219"/>
      <c r="I10" s="269" t="s">
        <v>2733</v>
      </c>
      <c r="J10" s="227">
        <f>3.14*0.007^2</f>
        <v>1.5386000000000002E-4</v>
      </c>
      <c r="K10" s="228">
        <v>2.7E-2</v>
      </c>
      <c r="L10" s="179">
        <v>7860</v>
      </c>
      <c r="M10" s="222">
        <v>1</v>
      </c>
      <c r="N10" s="223">
        <f>L10*K10*J10*D10</f>
        <v>7.3467380700000015E-2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841">
        <f>N10</f>
        <v>7.3467380700000015E-2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93" t="s">
        <v>2806</v>
      </c>
      <c r="D14" s="936">
        <v>1.3</v>
      </c>
      <c r="E14" s="180" t="s">
        <v>556</v>
      </c>
      <c r="F14" s="168">
        <v>1</v>
      </c>
      <c r="G14" s="180" t="s">
        <v>2450</v>
      </c>
      <c r="H14" s="168">
        <v>0.5</v>
      </c>
      <c r="I14" s="223">
        <f>D14*H14</f>
        <v>0.65</v>
      </c>
    </row>
    <row r="15" spans="1:14" x14ac:dyDescent="0.3">
      <c r="A15" s="168">
        <v>20</v>
      </c>
      <c r="B15" s="180" t="s">
        <v>609</v>
      </c>
      <c r="C15" s="184" t="s">
        <v>722</v>
      </c>
      <c r="D15" s="936">
        <v>0.04</v>
      </c>
      <c r="E15" s="180" t="s">
        <v>610</v>
      </c>
      <c r="F15" s="179">
        <v>0.69</v>
      </c>
      <c r="G15" s="168" t="s">
        <v>2525</v>
      </c>
      <c r="H15" s="168">
        <v>3</v>
      </c>
      <c r="I15" s="223">
        <f>D15*F15*H15</f>
        <v>8.2799999999999999E-2</v>
      </c>
    </row>
    <row r="16" spans="1:14" x14ac:dyDescent="0.3">
      <c r="A16" s="179">
        <v>30</v>
      </c>
      <c r="B16" s="171" t="s">
        <v>1249</v>
      </c>
      <c r="C16" s="171" t="s">
        <v>2807</v>
      </c>
      <c r="D16" s="936">
        <v>0.35</v>
      </c>
      <c r="E16" s="168" t="s">
        <v>843</v>
      </c>
      <c r="F16" s="168">
        <v>1</v>
      </c>
      <c r="G16" s="168"/>
      <c r="H16" s="168"/>
      <c r="I16" s="322">
        <v>0.35</v>
      </c>
    </row>
    <row r="17" spans="1:10" x14ac:dyDescent="0.3">
      <c r="A17" s="168">
        <v>40</v>
      </c>
      <c r="B17" s="180" t="s">
        <v>785</v>
      </c>
      <c r="C17" s="171" t="s">
        <v>2527</v>
      </c>
      <c r="D17" s="936">
        <v>0.65</v>
      </c>
      <c r="E17" s="180" t="s">
        <v>556</v>
      </c>
      <c r="F17" s="168">
        <v>1</v>
      </c>
      <c r="G17" s="168"/>
      <c r="H17" s="168"/>
      <c r="I17" s="223">
        <f>D17</f>
        <v>0.65</v>
      </c>
    </row>
    <row r="18" spans="1:10" x14ac:dyDescent="0.3">
      <c r="A18" s="168">
        <v>50</v>
      </c>
      <c r="B18" s="180" t="s">
        <v>609</v>
      </c>
      <c r="C18" s="168" t="s">
        <v>2584</v>
      </c>
      <c r="D18" s="936">
        <v>0.04</v>
      </c>
      <c r="E18" s="180" t="s">
        <v>610</v>
      </c>
      <c r="F18" s="316">
        <v>0.1144</v>
      </c>
      <c r="G18" s="168" t="s">
        <v>2525</v>
      </c>
      <c r="H18" s="168">
        <v>3</v>
      </c>
      <c r="I18" s="223">
        <f>D18*F18*H18</f>
        <v>1.3728000000000001E-2</v>
      </c>
    </row>
    <row r="19" spans="1:10" x14ac:dyDescent="0.3">
      <c r="A19" s="178"/>
      <c r="B19" s="178"/>
      <c r="C19" s="178"/>
      <c r="D19" s="178"/>
      <c r="E19" s="178"/>
      <c r="F19" s="178"/>
      <c r="G19" s="178"/>
      <c r="H19" s="840" t="s">
        <v>547</v>
      </c>
      <c r="I19" s="918">
        <f>SUM(I14:I18)</f>
        <v>1.7465280000000001</v>
      </c>
      <c r="J19" s="178"/>
    </row>
    <row r="20" spans="1:10" x14ac:dyDescent="0.3">
      <c r="H20" s="326"/>
      <c r="I20" s="325"/>
    </row>
    <row r="21" spans="1:10" x14ac:dyDescent="0.3">
      <c r="F21" s="937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  <row r="195" spans="1:8" x14ac:dyDescent="0.3">
      <c r="A195" s="161"/>
      <c r="B195" s="161"/>
      <c r="C195" s="161"/>
      <c r="D195" s="161"/>
      <c r="E195" s="161"/>
      <c r="F195" s="161"/>
      <c r="G195" s="161"/>
      <c r="H195" s="161"/>
    </row>
    <row r="196" spans="1:8" x14ac:dyDescent="0.3">
      <c r="A196" s="161"/>
      <c r="B196" s="161"/>
      <c r="C196" s="161"/>
      <c r="D196" s="161"/>
      <c r="E196" s="161"/>
      <c r="F196" s="161"/>
      <c r="G196" s="161"/>
      <c r="H196" s="161"/>
    </row>
    <row r="197" spans="1:8" x14ac:dyDescent="0.3">
      <c r="A197" s="161"/>
      <c r="B197" s="161"/>
      <c r="C197" s="161"/>
      <c r="D197" s="161"/>
      <c r="E197" s="161"/>
      <c r="F197" s="161"/>
      <c r="G197" s="161"/>
      <c r="H197" s="161"/>
    </row>
    <row r="198" spans="1:8" x14ac:dyDescent="0.3">
      <c r="A198" s="161"/>
      <c r="B198" s="161"/>
      <c r="C198" s="161"/>
      <c r="D198" s="161"/>
      <c r="E198" s="161"/>
      <c r="F198" s="161"/>
      <c r="G198" s="161"/>
      <c r="H198" s="161"/>
    </row>
    <row r="199" spans="1:8" x14ac:dyDescent="0.3">
      <c r="A199" s="161"/>
      <c r="B199" s="161"/>
      <c r="C199" s="161"/>
      <c r="D199" s="161"/>
      <c r="E199" s="161"/>
      <c r="F199" s="161"/>
      <c r="G199" s="161"/>
      <c r="H199" s="161"/>
    </row>
    <row r="200" spans="1:8" x14ac:dyDescent="0.3">
      <c r="A200" s="161"/>
      <c r="B200" s="161"/>
      <c r="C200" s="161"/>
      <c r="D200" s="161"/>
      <c r="E200" s="161"/>
      <c r="F200" s="161"/>
      <c r="G200" s="161"/>
      <c r="H200" s="161"/>
    </row>
  </sheetData>
  <pageMargins left="0.7" right="0.7" top="0.75" bottom="0.75" header="0.3" footer="0.3"/>
  <pageSetup paperSize="9" scale="59" orientation="landscape" r:id="rId1"/>
</worksheet>
</file>

<file path=xl/worksheets/sheet3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200"/>
  <sheetViews>
    <sheetView showGridLines="0" workbookViewId="0"/>
  </sheetViews>
  <sheetFormatPr defaultColWidth="11.44140625" defaultRowHeight="14.4" x14ac:dyDescent="0.3"/>
  <cols>
    <col min="2" max="2" width="27.109375" customWidth="1"/>
    <col min="3" max="3" width="35.5546875" customWidth="1"/>
    <col min="7" max="7" width="21.33203125" customWidth="1"/>
    <col min="9" max="9" width="15.5546875" customWidth="1"/>
    <col min="10" max="11" width="12" bestFit="1" customWidth="1"/>
    <col min="13" max="13" width="13.6640625" bestFit="1" customWidth="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164">
        <f>N11+I19</f>
        <v>1.8199953807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t="s">
        <v>2833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2808</v>
      </c>
      <c r="D4" s="837" t="s">
        <v>541</v>
      </c>
      <c r="J4" s="837" t="s">
        <v>538</v>
      </c>
      <c r="M4" s="837" t="s">
        <v>539</v>
      </c>
      <c r="N4" s="164">
        <f>N2*N1</f>
        <v>3.6399907614</v>
      </c>
    </row>
    <row r="5" spans="1:14" x14ac:dyDescent="0.3">
      <c r="A5" s="837" t="s">
        <v>537</v>
      </c>
      <c r="B5" s="166" t="s">
        <v>482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161" t="s">
        <v>2804</v>
      </c>
    </row>
    <row r="9" spans="1:14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606</v>
      </c>
      <c r="C10" s="494" t="s">
        <v>2732</v>
      </c>
      <c r="D10" s="170">
        <v>2.25</v>
      </c>
      <c r="E10" s="168">
        <v>7</v>
      </c>
      <c r="F10" s="168" t="s">
        <v>573</v>
      </c>
      <c r="G10" s="168"/>
      <c r="H10" s="219"/>
      <c r="I10" s="269" t="s">
        <v>2733</v>
      </c>
      <c r="J10" s="227">
        <f>3.14*0.007^2</f>
        <v>1.5386000000000002E-4</v>
      </c>
      <c r="K10" s="228">
        <v>2.7E-2</v>
      </c>
      <c r="L10" s="179">
        <v>7860</v>
      </c>
      <c r="M10" s="222">
        <v>1</v>
      </c>
      <c r="N10" s="223">
        <f>L10*K10*J10*D10</f>
        <v>7.3467380700000015E-2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0" t="s">
        <v>547</v>
      </c>
      <c r="N11" s="841">
        <f>N10</f>
        <v>7.3467380700000015E-2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93" t="s">
        <v>2734</v>
      </c>
      <c r="D14" s="936">
        <v>1.3</v>
      </c>
      <c r="E14" s="180" t="s">
        <v>556</v>
      </c>
      <c r="F14" s="168">
        <v>1</v>
      </c>
      <c r="G14" s="180" t="s">
        <v>2450</v>
      </c>
      <c r="H14" s="168">
        <v>0.5</v>
      </c>
      <c r="I14" s="223">
        <f>D14*H14</f>
        <v>0.65</v>
      </c>
    </row>
    <row r="15" spans="1:14" x14ac:dyDescent="0.3">
      <c r="A15" s="168">
        <v>20</v>
      </c>
      <c r="B15" s="180" t="s">
        <v>609</v>
      </c>
      <c r="C15" s="184" t="s">
        <v>722</v>
      </c>
      <c r="D15" s="936">
        <v>0.04</v>
      </c>
      <c r="E15" s="180" t="s">
        <v>610</v>
      </c>
      <c r="F15" s="179">
        <v>0.69</v>
      </c>
      <c r="G15" s="168" t="s">
        <v>2525</v>
      </c>
      <c r="H15" s="168">
        <v>3</v>
      </c>
      <c r="I15" s="223">
        <f>D15*F15*H15</f>
        <v>8.2799999999999999E-2</v>
      </c>
    </row>
    <row r="16" spans="1:14" x14ac:dyDescent="0.3">
      <c r="A16" s="179">
        <v>30</v>
      </c>
      <c r="B16" s="171" t="s">
        <v>1249</v>
      </c>
      <c r="C16" s="171" t="s">
        <v>2735</v>
      </c>
      <c r="D16" s="936">
        <v>0.35</v>
      </c>
      <c r="E16" s="168" t="s">
        <v>843</v>
      </c>
      <c r="F16" s="168">
        <v>1</v>
      </c>
      <c r="G16" s="168"/>
      <c r="H16" s="168"/>
      <c r="I16" s="322">
        <f>D16</f>
        <v>0.35</v>
      </c>
    </row>
    <row r="17" spans="1:10" x14ac:dyDescent="0.3">
      <c r="A17" s="168">
        <v>40</v>
      </c>
      <c r="B17" s="180" t="s">
        <v>785</v>
      </c>
      <c r="C17" s="171" t="s">
        <v>2527</v>
      </c>
      <c r="D17" s="936">
        <v>0.65</v>
      </c>
      <c r="E17" s="180" t="s">
        <v>556</v>
      </c>
      <c r="F17" s="168">
        <v>1</v>
      </c>
      <c r="G17" s="168"/>
      <c r="H17" s="168"/>
      <c r="I17" s="223">
        <f>D17</f>
        <v>0.65</v>
      </c>
    </row>
    <row r="18" spans="1:10" x14ac:dyDescent="0.3">
      <c r="A18" s="168">
        <v>50</v>
      </c>
      <c r="B18" s="180" t="s">
        <v>609</v>
      </c>
      <c r="C18" s="168" t="s">
        <v>2584</v>
      </c>
      <c r="D18" s="936">
        <v>0.04</v>
      </c>
      <c r="E18" s="180" t="s">
        <v>610</v>
      </c>
      <c r="F18" s="316">
        <v>0.1144</v>
      </c>
      <c r="G18" s="168" t="s">
        <v>2525</v>
      </c>
      <c r="H18" s="168">
        <v>3</v>
      </c>
      <c r="I18" s="223">
        <f>D18*F18*H18</f>
        <v>1.3728000000000001E-2</v>
      </c>
    </row>
    <row r="19" spans="1:10" x14ac:dyDescent="0.3">
      <c r="A19" s="178"/>
      <c r="B19" s="178"/>
      <c r="C19" s="178"/>
      <c r="D19" s="178"/>
      <c r="E19" s="178"/>
      <c r="F19" s="178"/>
      <c r="G19" s="178"/>
      <c r="H19" s="840" t="s">
        <v>547</v>
      </c>
      <c r="I19" s="918">
        <f>SUM(I14:I18)</f>
        <v>1.7465280000000001</v>
      </c>
      <c r="J19" s="178"/>
    </row>
    <row r="20" spans="1:10" x14ac:dyDescent="0.3">
      <c r="H20" s="326"/>
      <c r="I20" s="325"/>
    </row>
    <row r="21" spans="1:10" x14ac:dyDescent="0.3">
      <c r="F21" s="937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  <row r="195" spans="1:8" x14ac:dyDescent="0.3">
      <c r="A195" s="161"/>
      <c r="B195" s="161"/>
      <c r="C195" s="161"/>
      <c r="D195" s="161"/>
      <c r="E195" s="161"/>
      <c r="F195" s="161"/>
      <c r="G195" s="161"/>
      <c r="H195" s="161"/>
    </row>
    <row r="196" spans="1:8" x14ac:dyDescent="0.3">
      <c r="A196" s="161"/>
      <c r="B196" s="161"/>
      <c r="C196" s="161"/>
      <c r="D196" s="161"/>
      <c r="E196" s="161"/>
      <c r="F196" s="161"/>
      <c r="G196" s="161"/>
      <c r="H196" s="161"/>
    </row>
    <row r="197" spans="1:8" x14ac:dyDescent="0.3">
      <c r="A197" s="161"/>
      <c r="B197" s="161"/>
      <c r="C197" s="161"/>
      <c r="D197" s="161"/>
      <c r="E197" s="161"/>
      <c r="F197" s="161"/>
      <c r="G197" s="161"/>
      <c r="H197" s="161"/>
    </row>
    <row r="198" spans="1:8" x14ac:dyDescent="0.3">
      <c r="A198" s="161"/>
      <c r="B198" s="161"/>
      <c r="C198" s="161"/>
      <c r="D198" s="161"/>
      <c r="E198" s="161"/>
      <c r="F198" s="161"/>
      <c r="G198" s="161"/>
      <c r="H198" s="161"/>
    </row>
    <row r="199" spans="1:8" x14ac:dyDescent="0.3">
      <c r="A199" s="161"/>
      <c r="B199" s="161"/>
      <c r="C199" s="161"/>
      <c r="D199" s="161"/>
      <c r="E199" s="161"/>
      <c r="F199" s="161"/>
      <c r="G199" s="161"/>
      <c r="H199" s="161"/>
    </row>
    <row r="200" spans="1:8" x14ac:dyDescent="0.3">
      <c r="A200" s="161"/>
      <c r="B200" s="161"/>
      <c r="C200" s="161"/>
      <c r="D200" s="161"/>
      <c r="E200" s="161"/>
      <c r="F200" s="161"/>
      <c r="G200" s="161"/>
      <c r="H200" s="161"/>
    </row>
  </sheetData>
  <pageMargins left="0.7" right="0.7" top="0.75" bottom="0.75" header="0.3" footer="0.3"/>
  <pageSetup paperSize="9" scale="60" orientation="landscape" r:id="rId1"/>
</worksheet>
</file>

<file path=xl/worksheets/sheet3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N46"/>
  <sheetViews>
    <sheetView showGridLines="0" workbookViewId="0"/>
  </sheetViews>
  <sheetFormatPr defaultColWidth="9.109375" defaultRowHeight="14.4" x14ac:dyDescent="0.3"/>
  <cols>
    <col min="1" max="1" width="10.5546875" style="161" bestFit="1" customWidth="1"/>
    <col min="2" max="2" width="27.554687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3.886718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4" x14ac:dyDescent="0.3">
      <c r="A1" s="919" t="s">
        <v>523</v>
      </c>
      <c r="B1" s="161" t="s">
        <v>524</v>
      </c>
      <c r="J1" s="919" t="s">
        <v>528</v>
      </c>
      <c r="K1" s="163">
        <v>81</v>
      </c>
      <c r="M1" s="919" t="s">
        <v>531</v>
      </c>
      <c r="N1" s="336">
        <f>E16+I34+J45</f>
        <v>186.6079390948556</v>
      </c>
    </row>
    <row r="2" spans="1:14" x14ac:dyDescent="0.3">
      <c r="A2" s="919" t="s">
        <v>532</v>
      </c>
      <c r="B2" s="161" t="s">
        <v>411</v>
      </c>
      <c r="M2" s="919" t="s">
        <v>533</v>
      </c>
      <c r="N2" s="165">
        <v>2</v>
      </c>
    </row>
    <row r="3" spans="1:14" x14ac:dyDescent="0.3">
      <c r="A3" s="919" t="s">
        <v>534</v>
      </c>
      <c r="B3" s="161" t="s">
        <v>484</v>
      </c>
      <c r="J3" s="919" t="s">
        <v>536</v>
      </c>
    </row>
    <row r="4" spans="1:14" x14ac:dyDescent="0.3">
      <c r="A4" s="919" t="s">
        <v>537</v>
      </c>
      <c r="B4" s="166" t="s">
        <v>483</v>
      </c>
      <c r="J4" s="919" t="s">
        <v>538</v>
      </c>
      <c r="M4" s="919" t="s">
        <v>539</v>
      </c>
      <c r="N4" s="336">
        <f>N1*N2</f>
        <v>373.21587818971119</v>
      </c>
    </row>
    <row r="5" spans="1:14" x14ac:dyDescent="0.3">
      <c r="A5" s="919" t="s">
        <v>540</v>
      </c>
      <c r="B5" s="161" t="s">
        <v>36</v>
      </c>
      <c r="J5" s="919" t="s">
        <v>541</v>
      </c>
    </row>
    <row r="6" spans="1:14" x14ac:dyDescent="0.3">
      <c r="A6" s="919" t="s">
        <v>542</v>
      </c>
    </row>
    <row r="8" spans="1:14" x14ac:dyDescent="0.3">
      <c r="A8" s="920" t="s">
        <v>544</v>
      </c>
      <c r="B8" s="920" t="s">
        <v>545</v>
      </c>
      <c r="C8" s="920" t="s">
        <v>546</v>
      </c>
      <c r="D8" s="920" t="s">
        <v>28</v>
      </c>
      <c r="E8" s="920" t="s">
        <v>547</v>
      </c>
    </row>
    <row r="9" spans="1:14" x14ac:dyDescent="0.3">
      <c r="A9" s="168">
        <v>10</v>
      </c>
      <c r="B9" s="168" t="s">
        <v>486</v>
      </c>
      <c r="C9" s="323">
        <f>'SU 11001'!N1</f>
        <v>162.41180150000002</v>
      </c>
      <c r="D9" s="171">
        <v>1</v>
      </c>
      <c r="E9" s="322">
        <f t="shared" ref="E9:E15" si="0">C9*D9</f>
        <v>162.41180150000002</v>
      </c>
    </row>
    <row r="10" spans="1:14" x14ac:dyDescent="0.3">
      <c r="A10" s="168">
        <v>20</v>
      </c>
      <c r="B10" s="168" t="s">
        <v>488</v>
      </c>
      <c r="C10" s="323">
        <f>'SU 11002'!N1</f>
        <v>4.2956485759999996</v>
      </c>
      <c r="D10" s="171">
        <v>1</v>
      </c>
      <c r="E10" s="322">
        <f t="shared" si="0"/>
        <v>4.2956485759999996</v>
      </c>
    </row>
    <row r="11" spans="1:14" x14ac:dyDescent="0.3">
      <c r="A11" s="168">
        <v>30</v>
      </c>
      <c r="B11" s="168" t="s">
        <v>490</v>
      </c>
      <c r="C11" s="323">
        <f>'SU 11003'!N1</f>
        <v>5.8842220799999998</v>
      </c>
      <c r="D11" s="171">
        <v>1</v>
      </c>
      <c r="E11" s="322">
        <f t="shared" si="0"/>
        <v>5.8842220799999998</v>
      </c>
    </row>
    <row r="12" spans="1:14" x14ac:dyDescent="0.3">
      <c r="A12" s="168">
        <v>40</v>
      </c>
      <c r="B12" s="168" t="s">
        <v>2835</v>
      </c>
      <c r="C12" s="323">
        <f>'SU 11004'!N1</f>
        <v>1.1971677199999999</v>
      </c>
      <c r="D12" s="171">
        <v>1</v>
      </c>
      <c r="E12" s="322">
        <f t="shared" si="0"/>
        <v>1.1971677199999999</v>
      </c>
    </row>
    <row r="13" spans="1:14" x14ac:dyDescent="0.3">
      <c r="A13" s="168">
        <v>50</v>
      </c>
      <c r="B13" s="168" t="s">
        <v>493</v>
      </c>
      <c r="C13" s="323">
        <f>'SU 11005'!N1</f>
        <v>0.35948183107117943</v>
      </c>
      <c r="D13" s="171">
        <v>2</v>
      </c>
      <c r="E13" s="322">
        <f t="shared" si="0"/>
        <v>0.71896366214235885</v>
      </c>
    </row>
    <row r="14" spans="1:14" x14ac:dyDescent="0.3">
      <c r="A14" s="168">
        <v>60</v>
      </c>
      <c r="B14" s="168" t="s">
        <v>2836</v>
      </c>
      <c r="C14" s="323">
        <f>'SU 11006'!N1</f>
        <v>1.5264155000000001</v>
      </c>
      <c r="D14" s="171">
        <v>1</v>
      </c>
      <c r="E14" s="322">
        <f>C14*D14</f>
        <v>1.5264155000000001</v>
      </c>
    </row>
    <row r="15" spans="1:14" x14ac:dyDescent="0.3">
      <c r="A15" s="168">
        <v>70</v>
      </c>
      <c r="B15" s="168" t="s">
        <v>495</v>
      </c>
      <c r="C15" s="323">
        <f>'SU 11007'!N1</f>
        <v>0.39686002835659467</v>
      </c>
      <c r="D15" s="171">
        <v>2</v>
      </c>
      <c r="E15" s="322">
        <f t="shared" si="0"/>
        <v>0.79372005671318935</v>
      </c>
    </row>
    <row r="16" spans="1:14" x14ac:dyDescent="0.3">
      <c r="D16" s="836" t="s">
        <v>547</v>
      </c>
      <c r="E16" s="921">
        <f>SUM(E9:E15)</f>
        <v>176.82793909485559</v>
      </c>
    </row>
    <row r="18" spans="1:12" s="178" customFormat="1" x14ac:dyDescent="0.3">
      <c r="A18" s="920" t="s">
        <v>544</v>
      </c>
      <c r="B18" s="920" t="s">
        <v>548</v>
      </c>
      <c r="C18" s="920" t="s">
        <v>549</v>
      </c>
      <c r="D18" s="920" t="s">
        <v>550</v>
      </c>
      <c r="E18" s="920" t="s">
        <v>551</v>
      </c>
      <c r="F18" s="920" t="s">
        <v>28</v>
      </c>
      <c r="G18" s="920" t="s">
        <v>552</v>
      </c>
      <c r="H18" s="920" t="s">
        <v>553</v>
      </c>
      <c r="I18" s="920" t="s">
        <v>547</v>
      </c>
    </row>
    <row r="19" spans="1:12" x14ac:dyDescent="0.3">
      <c r="A19" s="168">
        <v>10</v>
      </c>
      <c r="B19" s="180" t="s">
        <v>1006</v>
      </c>
      <c r="C19" s="171" t="s">
        <v>2837</v>
      </c>
      <c r="D19" s="323">
        <v>0.56000000000000005</v>
      </c>
      <c r="E19" s="168" t="s">
        <v>551</v>
      </c>
      <c r="F19" s="168">
        <v>1</v>
      </c>
      <c r="G19" s="168"/>
      <c r="H19" s="168">
        <v>1</v>
      </c>
      <c r="I19" s="323">
        <f>D19*F19*H19</f>
        <v>0.56000000000000005</v>
      </c>
    </row>
    <row r="20" spans="1:12" x14ac:dyDescent="0.3">
      <c r="A20" s="168">
        <v>20</v>
      </c>
      <c r="B20" s="180" t="s">
        <v>749</v>
      </c>
      <c r="C20" s="171" t="s">
        <v>2838</v>
      </c>
      <c r="D20" s="323">
        <v>0.13</v>
      </c>
      <c r="E20" s="168" t="s">
        <v>551</v>
      </c>
      <c r="F20" s="168">
        <v>1</v>
      </c>
      <c r="G20" s="168"/>
      <c r="H20" s="168">
        <v>1</v>
      </c>
      <c r="I20" s="323">
        <f t="shared" ref="I20:I30" si="1">F20*D20</f>
        <v>0.13</v>
      </c>
    </row>
    <row r="21" spans="1:12" x14ac:dyDescent="0.3">
      <c r="A21" s="168">
        <v>30</v>
      </c>
      <c r="B21" s="180" t="s">
        <v>2839</v>
      </c>
      <c r="C21" s="171" t="s">
        <v>2840</v>
      </c>
      <c r="D21" s="323">
        <v>0.5</v>
      </c>
      <c r="E21" s="168" t="s">
        <v>551</v>
      </c>
      <c r="F21" s="168">
        <v>2</v>
      </c>
      <c r="G21" s="168"/>
      <c r="H21" s="168">
        <v>1</v>
      </c>
      <c r="I21" s="323">
        <f t="shared" si="1"/>
        <v>1</v>
      </c>
    </row>
    <row r="22" spans="1:12" x14ac:dyDescent="0.3">
      <c r="A22" s="168">
        <v>40</v>
      </c>
      <c r="B22" s="350" t="s">
        <v>616</v>
      </c>
      <c r="C22" s="171" t="s">
        <v>2840</v>
      </c>
      <c r="D22" s="323">
        <v>0.25</v>
      </c>
      <c r="E22" s="168" t="s">
        <v>551</v>
      </c>
      <c r="F22" s="168">
        <v>2</v>
      </c>
      <c r="G22" s="168"/>
      <c r="H22" s="168">
        <v>1</v>
      </c>
      <c r="I22" s="323">
        <f t="shared" si="1"/>
        <v>0.5</v>
      </c>
      <c r="J22" s="178"/>
      <c r="K22" s="178"/>
      <c r="L22" s="178"/>
    </row>
    <row r="23" spans="1:12" ht="28.8" x14ac:dyDescent="0.3">
      <c r="A23" s="168">
        <v>50</v>
      </c>
      <c r="B23" s="180" t="s">
        <v>749</v>
      </c>
      <c r="C23" s="184" t="s">
        <v>2841</v>
      </c>
      <c r="D23" s="323">
        <v>0.13</v>
      </c>
      <c r="E23" s="168" t="s">
        <v>551</v>
      </c>
      <c r="F23" s="168">
        <v>1</v>
      </c>
      <c r="G23" s="168"/>
      <c r="H23" s="168">
        <v>1</v>
      </c>
      <c r="I23" s="323">
        <f t="shared" si="1"/>
        <v>0.13</v>
      </c>
    </row>
    <row r="24" spans="1:12" x14ac:dyDescent="0.3">
      <c r="A24" s="168">
        <v>60</v>
      </c>
      <c r="B24" s="349" t="s">
        <v>749</v>
      </c>
      <c r="C24" s="168" t="s">
        <v>2842</v>
      </c>
      <c r="D24" s="323">
        <v>0.13</v>
      </c>
      <c r="E24" s="168" t="s">
        <v>551</v>
      </c>
      <c r="F24" s="168">
        <v>1</v>
      </c>
      <c r="G24" s="168"/>
      <c r="H24" s="168">
        <v>1</v>
      </c>
      <c r="I24" s="323">
        <f t="shared" si="1"/>
        <v>0.13</v>
      </c>
    </row>
    <row r="25" spans="1:12" x14ac:dyDescent="0.3">
      <c r="A25" s="168">
        <v>70</v>
      </c>
      <c r="B25" s="180" t="s">
        <v>2839</v>
      </c>
      <c r="C25" s="171" t="s">
        <v>2843</v>
      </c>
      <c r="D25" s="323">
        <v>0.5</v>
      </c>
      <c r="E25" s="168" t="s">
        <v>551</v>
      </c>
      <c r="F25" s="168">
        <v>2</v>
      </c>
      <c r="G25" s="168"/>
      <c r="H25" s="168">
        <v>1</v>
      </c>
      <c r="I25" s="323">
        <f t="shared" si="1"/>
        <v>1</v>
      </c>
      <c r="J25" s="178"/>
      <c r="K25" s="178"/>
      <c r="L25" s="178"/>
    </row>
    <row r="26" spans="1:12" x14ac:dyDescent="0.3">
      <c r="A26" s="168">
        <v>80</v>
      </c>
      <c r="B26" s="350" t="s">
        <v>660</v>
      </c>
      <c r="C26" s="171" t="s">
        <v>2843</v>
      </c>
      <c r="D26" s="323">
        <v>0.25</v>
      </c>
      <c r="E26" s="168" t="s">
        <v>551</v>
      </c>
      <c r="F26" s="168">
        <v>2</v>
      </c>
      <c r="G26" s="168"/>
      <c r="H26" s="168">
        <v>1</v>
      </c>
      <c r="I26" s="323">
        <f t="shared" si="1"/>
        <v>0.5</v>
      </c>
    </row>
    <row r="27" spans="1:12" x14ac:dyDescent="0.3">
      <c r="A27" s="168">
        <v>90</v>
      </c>
      <c r="B27" s="349" t="s">
        <v>749</v>
      </c>
      <c r="C27" s="168" t="s">
        <v>2842</v>
      </c>
      <c r="D27" s="323">
        <v>0.06</v>
      </c>
      <c r="E27" s="168" t="s">
        <v>551</v>
      </c>
      <c r="F27" s="168">
        <v>1</v>
      </c>
      <c r="G27" s="168"/>
      <c r="H27" s="168"/>
      <c r="I27" s="323">
        <f t="shared" si="1"/>
        <v>0.06</v>
      </c>
    </row>
    <row r="28" spans="1:12" x14ac:dyDescent="0.3">
      <c r="A28" s="168">
        <v>100</v>
      </c>
      <c r="B28" s="180" t="s">
        <v>2844</v>
      </c>
      <c r="C28" s="171" t="s">
        <v>2845</v>
      </c>
      <c r="D28" s="323">
        <v>0.5</v>
      </c>
      <c r="E28" s="168" t="s">
        <v>551</v>
      </c>
      <c r="F28" s="168">
        <v>2</v>
      </c>
      <c r="G28" s="168"/>
      <c r="H28" s="168"/>
      <c r="I28" s="323">
        <f t="shared" si="1"/>
        <v>1</v>
      </c>
    </row>
    <row r="29" spans="1:12" x14ac:dyDescent="0.3">
      <c r="A29" s="168">
        <v>110</v>
      </c>
      <c r="B29" s="350" t="s">
        <v>660</v>
      </c>
      <c r="C29" s="171" t="s">
        <v>2846</v>
      </c>
      <c r="D29" s="323">
        <v>0.25</v>
      </c>
      <c r="E29" s="168" t="s">
        <v>551</v>
      </c>
      <c r="F29" s="168">
        <v>2</v>
      </c>
      <c r="G29" s="168"/>
      <c r="H29" s="168"/>
      <c r="I29" s="323">
        <f t="shared" si="1"/>
        <v>0.5</v>
      </c>
    </row>
    <row r="30" spans="1:12" ht="28.8" x14ac:dyDescent="0.3">
      <c r="A30" s="168">
        <v>120</v>
      </c>
      <c r="B30" s="180" t="s">
        <v>557</v>
      </c>
      <c r="C30" s="193" t="s">
        <v>2847</v>
      </c>
      <c r="D30" s="323">
        <v>0.06</v>
      </c>
      <c r="E30" s="168" t="s">
        <v>551</v>
      </c>
      <c r="F30" s="168">
        <v>4</v>
      </c>
      <c r="G30" s="168"/>
      <c r="H30" s="168">
        <v>1</v>
      </c>
      <c r="I30" s="323">
        <f t="shared" si="1"/>
        <v>0.24</v>
      </c>
    </row>
    <row r="31" spans="1:12" x14ac:dyDescent="0.3">
      <c r="A31" s="168">
        <v>130</v>
      </c>
      <c r="B31" s="315" t="s">
        <v>1367</v>
      </c>
      <c r="C31" s="171" t="s">
        <v>2848</v>
      </c>
      <c r="D31" s="323">
        <v>0.63</v>
      </c>
      <c r="E31" s="168" t="s">
        <v>551</v>
      </c>
      <c r="F31" s="168">
        <v>1</v>
      </c>
      <c r="G31" s="168"/>
      <c r="H31" s="168">
        <v>1</v>
      </c>
      <c r="I31" s="323">
        <f>D31*F31*H31</f>
        <v>0.63</v>
      </c>
    </row>
    <row r="32" spans="1:12" x14ac:dyDescent="0.3">
      <c r="A32" s="168">
        <v>140</v>
      </c>
      <c r="B32" s="180" t="s">
        <v>559</v>
      </c>
      <c r="C32" s="171" t="s">
        <v>2849</v>
      </c>
      <c r="D32" s="323">
        <v>0.75</v>
      </c>
      <c r="E32" s="168" t="s">
        <v>551</v>
      </c>
      <c r="F32" s="168">
        <v>2</v>
      </c>
      <c r="G32" s="168"/>
      <c r="H32" s="168">
        <v>1</v>
      </c>
      <c r="I32" s="323">
        <f>D32*F32*H32</f>
        <v>1.5</v>
      </c>
    </row>
    <row r="33" spans="1:10" x14ac:dyDescent="0.3">
      <c r="A33" s="168">
        <v>150</v>
      </c>
      <c r="B33" s="180" t="s">
        <v>616</v>
      </c>
      <c r="C33" s="171" t="s">
        <v>2849</v>
      </c>
      <c r="D33" s="323">
        <v>0.25</v>
      </c>
      <c r="E33" s="168" t="s">
        <v>551</v>
      </c>
      <c r="F33" s="168">
        <v>2</v>
      </c>
      <c r="G33" s="168"/>
      <c r="H33" s="168">
        <v>1</v>
      </c>
      <c r="I33" s="323">
        <f>D33*F33*H33</f>
        <v>0.5</v>
      </c>
    </row>
    <row r="34" spans="1:10" s="178" customFormat="1" x14ac:dyDescent="0.3">
      <c r="H34" s="836" t="s">
        <v>547</v>
      </c>
      <c r="I34" s="920">
        <f>SUM(I19:I33)</f>
        <v>8.379999999999999</v>
      </c>
    </row>
    <row r="36" spans="1:10" s="178" customFormat="1" x14ac:dyDescent="0.3">
      <c r="A36" s="920" t="s">
        <v>544</v>
      </c>
      <c r="B36" s="920" t="s">
        <v>566</v>
      </c>
      <c r="C36" s="920" t="s">
        <v>549</v>
      </c>
      <c r="D36" s="920" t="s">
        <v>550</v>
      </c>
      <c r="E36" s="920" t="s">
        <v>567</v>
      </c>
      <c r="F36" s="920" t="s">
        <v>568</v>
      </c>
      <c r="G36" s="920" t="s">
        <v>569</v>
      </c>
      <c r="H36" s="920" t="s">
        <v>570</v>
      </c>
      <c r="I36" s="920" t="s">
        <v>28</v>
      </c>
      <c r="J36" s="920" t="s">
        <v>547</v>
      </c>
    </row>
    <row r="37" spans="1:10" x14ac:dyDescent="0.3">
      <c r="A37" s="168">
        <v>10</v>
      </c>
      <c r="B37" s="225" t="s">
        <v>684</v>
      </c>
      <c r="C37" s="168" t="s">
        <v>2850</v>
      </c>
      <c r="D37" s="323">
        <v>0.12</v>
      </c>
      <c r="E37" s="168">
        <v>6</v>
      </c>
      <c r="F37" s="245" t="s">
        <v>573</v>
      </c>
      <c r="G37" s="168">
        <v>50</v>
      </c>
      <c r="H37" s="171" t="s">
        <v>573</v>
      </c>
      <c r="I37" s="327">
        <v>2</v>
      </c>
      <c r="J37" s="323">
        <f>D37*I37</f>
        <v>0.24</v>
      </c>
    </row>
    <row r="38" spans="1:10" x14ac:dyDescent="0.3">
      <c r="A38" s="168">
        <v>20</v>
      </c>
      <c r="B38" s="225" t="s">
        <v>684</v>
      </c>
      <c r="C38" s="168" t="s">
        <v>2851</v>
      </c>
      <c r="D38" s="323">
        <v>7.0000000000000007E-2</v>
      </c>
      <c r="E38" s="168">
        <v>6</v>
      </c>
      <c r="F38" s="245" t="s">
        <v>573</v>
      </c>
      <c r="G38" s="168">
        <v>30</v>
      </c>
      <c r="H38" s="171" t="s">
        <v>573</v>
      </c>
      <c r="I38" s="327">
        <v>2</v>
      </c>
      <c r="J38" s="323">
        <f t="shared" ref="J38:J44" si="2">D38*I38</f>
        <v>0.14000000000000001</v>
      </c>
    </row>
    <row r="39" spans="1:10" ht="16.5" customHeight="1" x14ac:dyDescent="0.3">
      <c r="A39" s="168">
        <v>30</v>
      </c>
      <c r="B39" s="225" t="s">
        <v>1375</v>
      </c>
      <c r="C39" s="184" t="s">
        <v>2852</v>
      </c>
      <c r="D39" s="323">
        <v>0.28999999999999998</v>
      </c>
      <c r="E39" s="168">
        <v>8</v>
      </c>
      <c r="F39" s="245" t="s">
        <v>573</v>
      </c>
      <c r="G39" s="168">
        <v>45</v>
      </c>
      <c r="H39" s="171" t="s">
        <v>573</v>
      </c>
      <c r="I39" s="327">
        <v>2</v>
      </c>
      <c r="J39" s="323">
        <f t="shared" si="2"/>
        <v>0.57999999999999996</v>
      </c>
    </row>
    <row r="40" spans="1:10" x14ac:dyDescent="0.3">
      <c r="A40" s="168">
        <v>40</v>
      </c>
      <c r="B40" s="356" t="s">
        <v>618</v>
      </c>
      <c r="C40" s="168" t="s">
        <v>2853</v>
      </c>
      <c r="D40" s="323">
        <v>0.03</v>
      </c>
      <c r="E40" s="168">
        <v>6</v>
      </c>
      <c r="F40" s="245" t="s">
        <v>573</v>
      </c>
      <c r="G40" s="168"/>
      <c r="H40" s="171"/>
      <c r="I40" s="327">
        <v>4</v>
      </c>
      <c r="J40" s="323">
        <f t="shared" si="2"/>
        <v>0.12</v>
      </c>
    </row>
    <row r="41" spans="1:10" x14ac:dyDescent="0.3">
      <c r="A41" s="168">
        <v>50</v>
      </c>
      <c r="B41" s="940" t="s">
        <v>618</v>
      </c>
      <c r="C41" s="168" t="s">
        <v>2854</v>
      </c>
      <c r="D41" s="323">
        <v>0.04</v>
      </c>
      <c r="E41" s="168">
        <v>8</v>
      </c>
      <c r="F41" s="245" t="s">
        <v>573</v>
      </c>
      <c r="G41" s="168"/>
      <c r="H41" s="171"/>
      <c r="I41" s="327">
        <v>2</v>
      </c>
      <c r="J41" s="323">
        <f t="shared" si="2"/>
        <v>0.08</v>
      </c>
    </row>
    <row r="42" spans="1:10" x14ac:dyDescent="0.3">
      <c r="A42" s="168">
        <v>60</v>
      </c>
      <c r="B42" s="225" t="s">
        <v>684</v>
      </c>
      <c r="C42" s="168" t="s">
        <v>2855</v>
      </c>
      <c r="D42" s="323">
        <v>0.08</v>
      </c>
      <c r="E42" s="168">
        <v>6</v>
      </c>
      <c r="F42" s="245" t="s">
        <v>573</v>
      </c>
      <c r="G42" s="168">
        <v>35</v>
      </c>
      <c r="H42" s="171" t="s">
        <v>573</v>
      </c>
      <c r="I42" s="327">
        <v>2</v>
      </c>
      <c r="J42" s="323">
        <f t="shared" si="2"/>
        <v>0.16</v>
      </c>
    </row>
    <row r="43" spans="1:10" x14ac:dyDescent="0.3">
      <c r="A43" s="168">
        <v>70</v>
      </c>
      <c r="B43" s="356" t="s">
        <v>574</v>
      </c>
      <c r="C43" s="168" t="s">
        <v>2856</v>
      </c>
      <c r="D43" s="323">
        <v>0.01</v>
      </c>
      <c r="E43" s="168">
        <v>6</v>
      </c>
      <c r="F43" s="245" t="s">
        <v>573</v>
      </c>
      <c r="G43" s="168"/>
      <c r="H43" s="171"/>
      <c r="I43" s="327">
        <v>4</v>
      </c>
      <c r="J43" s="323">
        <f t="shared" si="2"/>
        <v>0.04</v>
      </c>
    </row>
    <row r="44" spans="1:10" x14ac:dyDescent="0.3">
      <c r="A44" s="168">
        <v>80</v>
      </c>
      <c r="B44" s="356" t="s">
        <v>574</v>
      </c>
      <c r="C44" s="168" t="s">
        <v>2857</v>
      </c>
      <c r="D44" s="323">
        <v>0.01</v>
      </c>
      <c r="E44" s="168">
        <v>8</v>
      </c>
      <c r="F44" s="245" t="s">
        <v>573</v>
      </c>
      <c r="G44" s="168"/>
      <c r="H44" s="171"/>
      <c r="I44" s="327">
        <v>4</v>
      </c>
      <c r="J44" s="323">
        <f t="shared" si="2"/>
        <v>0.04</v>
      </c>
    </row>
    <row r="45" spans="1:10" s="178" customFormat="1" x14ac:dyDescent="0.3">
      <c r="I45" s="836" t="s">
        <v>547</v>
      </c>
      <c r="J45" s="921">
        <f>SUM(J37:J44)</f>
        <v>1.4000000000000001</v>
      </c>
    </row>
    <row r="46" spans="1:10" x14ac:dyDescent="0.3">
      <c r="H46" s="326"/>
      <c r="I46" s="325"/>
    </row>
  </sheetData>
  <pageMargins left="0.5" right="0.5" top="0.75" bottom="0.75" header="0.3" footer="0.3"/>
  <pageSetup paperSize="9" scale="69" orientation="landscape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1.33203125" style="161" bestFit="1" customWidth="1"/>
    <col min="2" max="2" width="28.88671875" style="161" customWidth="1"/>
    <col min="3" max="3" width="16.88671875" style="161" customWidth="1"/>
    <col min="4" max="4" width="13.5546875" style="161" bestFit="1" customWidth="1"/>
    <col min="5" max="5" width="9.109375" style="161" customWidth="1"/>
    <col min="6" max="6" width="9.33203125" style="161" customWidth="1"/>
    <col min="7" max="7" width="18.5546875" style="161" bestFit="1" customWidth="1"/>
    <col min="8" max="8" width="10.88671875" style="161" bestFit="1" customWidth="1"/>
    <col min="9" max="9" width="15.5546875" style="161" bestFit="1" customWidth="1"/>
    <col min="10" max="10" width="11.33203125" style="16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0.760764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68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78</v>
      </c>
      <c r="D4" s="342" t="s">
        <v>541</v>
      </c>
      <c r="J4" s="342" t="s">
        <v>538</v>
      </c>
      <c r="M4" s="342" t="s">
        <v>539</v>
      </c>
      <c r="N4" s="336">
        <f>N1*N2</f>
        <v>1.521528</v>
      </c>
    </row>
    <row r="5" spans="1:14" x14ac:dyDescent="0.3">
      <c r="A5" s="342" t="s">
        <v>537</v>
      </c>
      <c r="B5" s="166" t="s">
        <v>77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68" t="s">
        <v>799</v>
      </c>
      <c r="C10" s="168" t="s">
        <v>798</v>
      </c>
      <c r="D10" s="323">
        <v>4.2</v>
      </c>
      <c r="E10" s="168">
        <v>20</v>
      </c>
      <c r="F10" s="168" t="s">
        <v>573</v>
      </c>
      <c r="G10" s="168"/>
      <c r="H10" s="219"/>
      <c r="I10" s="220" t="s">
        <v>797</v>
      </c>
      <c r="J10" s="340">
        <f>10*10/1000000</f>
        <v>1E-4</v>
      </c>
      <c r="K10" s="228">
        <v>0.02</v>
      </c>
      <c r="L10" s="219">
        <v>2710</v>
      </c>
      <c r="M10" s="339">
        <v>1</v>
      </c>
      <c r="N10" s="322">
        <f>IF(J10="",D10*M10,D10*J10*K10*L10*M10)</f>
        <v>2.2764000000000003E-2</v>
      </c>
    </row>
    <row r="11" spans="1:14" s="178" customFormat="1" x14ac:dyDescent="0.3">
      <c r="M11" s="338" t="s">
        <v>547</v>
      </c>
      <c r="N11" s="337">
        <f>SUM(N10:N10)</f>
        <v>2.2764000000000003E-2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31.95" customHeight="1" x14ac:dyDescent="0.3">
      <c r="A14" s="168">
        <v>10</v>
      </c>
      <c r="B14" s="315" t="s">
        <v>589</v>
      </c>
      <c r="C14" s="171"/>
      <c r="D14" s="323">
        <v>1.3</v>
      </c>
      <c r="E14" s="168" t="s">
        <v>556</v>
      </c>
      <c r="F14" s="168">
        <v>1</v>
      </c>
      <c r="G14" s="184" t="s">
        <v>2450</v>
      </c>
      <c r="H14" s="168">
        <v>0.5</v>
      </c>
      <c r="I14" s="323">
        <f>IF('EN 01008'!$H14&lt;&gt;"",'EN 01008'!$D14*'EN 01008'!$F14*'EN 01008'!$H14,'EN 01008'!$D14*'EN 01008'!$F14)</f>
        <v>0.65</v>
      </c>
    </row>
    <row r="15" spans="1:14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2.2000000000000002</v>
      </c>
      <c r="G15" s="180" t="s">
        <v>723</v>
      </c>
      <c r="H15" s="168">
        <v>1</v>
      </c>
      <c r="I15" s="323">
        <f>IF('EN 01008'!$H15&lt;&gt;"",'EN 01008'!$D15*'EN 01008'!$F15*'EN 01008'!$H15,'EN 01008'!$D15*'EN 01008'!$F15)</f>
        <v>8.8000000000000009E-2</v>
      </c>
    </row>
    <row r="16" spans="1:14" s="178" customFormat="1" x14ac:dyDescent="0.3">
      <c r="H16" s="338" t="s">
        <v>547</v>
      </c>
      <c r="I16" s="337">
        <f>SUM(I14:I15)</f>
        <v>0.73799999999999999</v>
      </c>
    </row>
    <row r="17" spans="8:9" x14ac:dyDescent="0.3">
      <c r="H17" s="326"/>
      <c r="I17" s="325"/>
    </row>
  </sheetData>
  <pageMargins left="0.5" right="0.5" top="0.75" bottom="0.75" header="0.3" footer="0.3"/>
  <pageSetup paperSize="9" scale="68" orientation="landscape" r:id="rId1"/>
</worksheet>
</file>

<file path=xl/worksheets/sheet3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20"/>
  <sheetViews>
    <sheetView showGridLines="0" workbookViewId="0">
      <selection activeCell="K14" sqref="K14"/>
    </sheetView>
  </sheetViews>
  <sheetFormatPr defaultColWidth="9.109375" defaultRowHeight="14.4" x14ac:dyDescent="0.3"/>
  <cols>
    <col min="1" max="1" width="15" style="161" bestFit="1" customWidth="1"/>
    <col min="2" max="2" width="19.33203125" style="161" customWidth="1"/>
    <col min="3" max="3" width="22.3320312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1.1093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N11+I19</f>
        <v>162.41180150000002</v>
      </c>
    </row>
    <row r="2" spans="1:14" x14ac:dyDescent="0.3">
      <c r="A2" s="837" t="s">
        <v>532</v>
      </c>
      <c r="B2" s="161" t="s">
        <v>411</v>
      </c>
      <c r="C2" s="359" t="s">
        <v>732</v>
      </c>
      <c r="D2" s="843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484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486</v>
      </c>
      <c r="D4" s="837" t="s">
        <v>541</v>
      </c>
      <c r="J4" s="837" t="s">
        <v>538</v>
      </c>
      <c r="M4" s="837" t="s">
        <v>539</v>
      </c>
      <c r="N4" s="336">
        <f>N1*N2</f>
        <v>324.82360300000005</v>
      </c>
    </row>
    <row r="5" spans="1:14" x14ac:dyDescent="0.3">
      <c r="A5" s="837" t="s">
        <v>537</v>
      </c>
      <c r="B5" s="166" t="s">
        <v>485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334"/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225" t="s">
        <v>2858</v>
      </c>
      <c r="C10" s="168" t="s">
        <v>486</v>
      </c>
      <c r="D10" s="323">
        <v>4.2</v>
      </c>
      <c r="E10" s="316">
        <f>J10*K10*L10</f>
        <v>9.3718574999999991</v>
      </c>
      <c r="F10" s="168" t="s">
        <v>856</v>
      </c>
      <c r="G10" s="168"/>
      <c r="H10" s="219"/>
      <c r="I10" s="269" t="s">
        <v>2859</v>
      </c>
      <c r="J10" s="227">
        <f>265*145/1000000</f>
        <v>3.8425000000000001E-2</v>
      </c>
      <c r="K10" s="219">
        <v>0.09</v>
      </c>
      <c r="L10" s="219">
        <v>2710</v>
      </c>
      <c r="M10" s="222">
        <v>1</v>
      </c>
      <c r="N10" s="322">
        <f>IF(J10="",D10*M10,D10*J10*K10*L10*M10)</f>
        <v>39.361801499999999</v>
      </c>
    </row>
    <row r="11" spans="1:14" s="178" customFormat="1" x14ac:dyDescent="0.3">
      <c r="M11" s="842" t="s">
        <v>547</v>
      </c>
      <c r="N11" s="918">
        <f>SUM(N10:N10)</f>
        <v>39.361801499999999</v>
      </c>
    </row>
    <row r="13" spans="1:14" s="178" customFormat="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</row>
    <row r="14" spans="1:14" ht="28.8" x14ac:dyDescent="0.3">
      <c r="A14" s="168">
        <v>10</v>
      </c>
      <c r="B14" s="315" t="s">
        <v>589</v>
      </c>
      <c r="C14" s="171"/>
      <c r="D14" s="323">
        <v>1.3</v>
      </c>
      <c r="E14" s="168" t="s">
        <v>551</v>
      </c>
      <c r="F14" s="168">
        <v>1</v>
      </c>
      <c r="G14" s="168"/>
      <c r="H14" s="168"/>
      <c r="I14" s="323">
        <f>IF('SU 11001'!$H14&lt;&gt;"",'SU 11001'!$D14*'SU 11001'!$F14*'SU 11001'!$H14,'SU 11001'!$D14*'SU 11001'!$F14)</f>
        <v>1.3</v>
      </c>
    </row>
    <row r="15" spans="1:14" ht="28.8" x14ac:dyDescent="0.3">
      <c r="A15" s="168">
        <v>20</v>
      </c>
      <c r="B15" s="171" t="s">
        <v>609</v>
      </c>
      <c r="C15" s="184" t="s">
        <v>1647</v>
      </c>
      <c r="D15" s="323">
        <v>0.04</v>
      </c>
      <c r="E15" s="168" t="s">
        <v>610</v>
      </c>
      <c r="F15" s="168">
        <v>2560</v>
      </c>
      <c r="G15" s="315" t="s">
        <v>723</v>
      </c>
      <c r="H15" s="168">
        <v>1</v>
      </c>
      <c r="I15" s="322">
        <f>F15*D15</f>
        <v>102.4</v>
      </c>
      <c r="L15" s="736"/>
      <c r="M15" s="736"/>
      <c r="N15" s="736"/>
    </row>
    <row r="16" spans="1:14" ht="28.8" x14ac:dyDescent="0.3">
      <c r="A16" s="168">
        <v>30</v>
      </c>
      <c r="B16" s="315" t="s">
        <v>785</v>
      </c>
      <c r="C16" s="171"/>
      <c r="D16" s="323">
        <v>0.65</v>
      </c>
      <c r="E16" s="168"/>
      <c r="F16" s="168">
        <v>1</v>
      </c>
      <c r="G16" s="168"/>
      <c r="H16" s="168"/>
      <c r="I16" s="322">
        <f>IF('SU 11001'!$H16&lt;&gt;"",'SU 11001'!$D16*'SU 11001'!$F16*'SU 11001'!$H16,'SU 11001'!$D16*'SU 11001'!$F16)</f>
        <v>0.65</v>
      </c>
      <c r="L16" s="736"/>
      <c r="M16" s="736"/>
    </row>
    <row r="17" spans="1:14" ht="28.8" x14ac:dyDescent="0.3">
      <c r="A17" s="168">
        <v>40</v>
      </c>
      <c r="B17" s="171" t="s">
        <v>609</v>
      </c>
      <c r="C17" s="184" t="s">
        <v>2860</v>
      </c>
      <c r="D17" s="323">
        <v>0.04</v>
      </c>
      <c r="E17" s="168" t="s">
        <v>610</v>
      </c>
      <c r="F17" s="168">
        <v>450</v>
      </c>
      <c r="G17" s="180" t="s">
        <v>723</v>
      </c>
      <c r="H17" s="168">
        <v>1</v>
      </c>
      <c r="I17" s="322">
        <f>F17*D17</f>
        <v>18</v>
      </c>
      <c r="L17" s="736"/>
      <c r="N17" s="736"/>
    </row>
    <row r="18" spans="1:14" ht="28.8" x14ac:dyDescent="0.3">
      <c r="A18" s="168">
        <v>50</v>
      </c>
      <c r="B18" s="171" t="s">
        <v>1345</v>
      </c>
      <c r="C18" s="184" t="s">
        <v>2861</v>
      </c>
      <c r="D18" s="323">
        <v>0.1</v>
      </c>
      <c r="E18" s="168" t="s">
        <v>593</v>
      </c>
      <c r="F18" s="168">
        <v>7</v>
      </c>
      <c r="G18" s="180" t="s">
        <v>723</v>
      </c>
      <c r="H18" s="168">
        <v>1</v>
      </c>
      <c r="I18" s="322">
        <f>F18*D18</f>
        <v>0.70000000000000007</v>
      </c>
      <c r="L18" s="736"/>
      <c r="N18" s="736"/>
    </row>
    <row r="19" spans="1:14" s="178" customFormat="1" x14ac:dyDescent="0.3">
      <c r="H19" s="842" t="s">
        <v>547</v>
      </c>
      <c r="I19" s="918">
        <f>SUM(I14:I18)</f>
        <v>123.05000000000001</v>
      </c>
    </row>
    <row r="20" spans="1:14" x14ac:dyDescent="0.3">
      <c r="L20" s="736"/>
    </row>
  </sheetData>
  <hyperlinks>
    <hyperlink ref="D2" location="'Front upright drawing'!A1" display="FileLink1"/>
  </hyperlinks>
  <pageMargins left="0.5" right="0.5" top="0.75" bottom="0.75" header="0.3" footer="0.3"/>
  <pageSetup paperSize="9" scale="67" orientation="landscape" r:id="rId1"/>
  <drawing r:id="rId2"/>
</worksheet>
</file>

<file path=xl/worksheets/sheet3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9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4.66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6.66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N11+I19</f>
        <v>4.2956485759999996</v>
      </c>
    </row>
    <row r="2" spans="1:14" x14ac:dyDescent="0.3">
      <c r="A2" s="837" t="s">
        <v>532</v>
      </c>
      <c r="B2" s="161" t="s">
        <v>411</v>
      </c>
      <c r="C2" s="359" t="s">
        <v>732</v>
      </c>
      <c r="D2" s="843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484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2862</v>
      </c>
      <c r="D4" s="837" t="s">
        <v>541</v>
      </c>
      <c r="J4" s="837" t="s">
        <v>538</v>
      </c>
      <c r="M4" s="837" t="s">
        <v>539</v>
      </c>
      <c r="N4" s="336">
        <f>N1*N2</f>
        <v>8.5912971519999992</v>
      </c>
    </row>
    <row r="5" spans="1:14" x14ac:dyDescent="0.3">
      <c r="A5" s="837" t="s">
        <v>537</v>
      </c>
      <c r="B5" s="166" t="s">
        <v>487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334"/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s="311" customFormat="1" ht="28.8" x14ac:dyDescent="0.3">
      <c r="A10" s="183">
        <v>10</v>
      </c>
      <c r="B10" s="190" t="s">
        <v>720</v>
      </c>
      <c r="C10" s="183"/>
      <c r="D10" s="241">
        <v>4.2</v>
      </c>
      <c r="E10" s="183">
        <v>7.2999999999999995E-2</v>
      </c>
      <c r="F10" s="183" t="s">
        <v>644</v>
      </c>
      <c r="G10" s="183">
        <v>2.5999999999999999E-2</v>
      </c>
      <c r="H10" s="204" t="s">
        <v>644</v>
      </c>
      <c r="I10" s="269" t="s">
        <v>2863</v>
      </c>
      <c r="J10" s="632">
        <f>E10*G10</f>
        <v>1.8979999999999997E-3</v>
      </c>
      <c r="K10" s="207">
        <v>1.6E-2</v>
      </c>
      <c r="L10" s="204">
        <v>2710</v>
      </c>
      <c r="M10" s="183">
        <v>1</v>
      </c>
      <c r="N10" s="385">
        <f>IF(J10="",D10*M10,D10*J10*K10*L10*M10)</f>
        <v>0.34564857599999993</v>
      </c>
    </row>
    <row r="11" spans="1:14" s="178" customFormat="1" x14ac:dyDescent="0.3">
      <c r="M11" s="842" t="s">
        <v>547</v>
      </c>
      <c r="N11" s="918">
        <f>SUM(N10:N10)</f>
        <v>0.34564857599999993</v>
      </c>
    </row>
    <row r="12" spans="1:14" x14ac:dyDescent="0.3">
      <c r="J12" s="736"/>
    </row>
    <row r="13" spans="1:14" s="178" customFormat="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68"/>
      <c r="H14" s="168"/>
      <c r="I14" s="323">
        <f>F14*D14</f>
        <v>1.3</v>
      </c>
      <c r="L14" s="736"/>
    </row>
    <row r="15" spans="1:14" ht="28.8" x14ac:dyDescent="0.3">
      <c r="A15" s="168">
        <v>20</v>
      </c>
      <c r="B15" s="180" t="s">
        <v>609</v>
      </c>
      <c r="C15" s="193" t="s">
        <v>1769</v>
      </c>
      <c r="D15" s="323">
        <v>0.04</v>
      </c>
      <c r="E15" s="168" t="s">
        <v>610</v>
      </c>
      <c r="F15" s="168">
        <v>15</v>
      </c>
      <c r="G15" s="315" t="s">
        <v>723</v>
      </c>
      <c r="H15" s="168">
        <v>1</v>
      </c>
      <c r="I15" s="323">
        <f>F15*D15</f>
        <v>0.6</v>
      </c>
    </row>
    <row r="16" spans="1:14" x14ac:dyDescent="0.3">
      <c r="A16" s="168">
        <v>30</v>
      </c>
      <c r="B16" s="180" t="s">
        <v>791</v>
      </c>
      <c r="C16" s="171"/>
      <c r="D16" s="323">
        <v>0.35</v>
      </c>
      <c r="E16" s="168" t="s">
        <v>843</v>
      </c>
      <c r="F16" s="168">
        <v>2</v>
      </c>
      <c r="G16" s="168"/>
      <c r="H16" s="168"/>
      <c r="I16" s="323">
        <f>F16*D16</f>
        <v>0.7</v>
      </c>
    </row>
    <row r="17" spans="1:13" x14ac:dyDescent="0.3">
      <c r="A17" s="168">
        <v>40</v>
      </c>
      <c r="B17" s="180" t="s">
        <v>785</v>
      </c>
      <c r="C17" s="171"/>
      <c r="D17" s="323">
        <v>0.65</v>
      </c>
      <c r="E17" s="168"/>
      <c r="F17" s="168">
        <v>1</v>
      </c>
      <c r="G17" s="168"/>
      <c r="H17" s="168"/>
      <c r="I17" s="323">
        <f>F17*D17</f>
        <v>0.65</v>
      </c>
    </row>
    <row r="18" spans="1:13" x14ac:dyDescent="0.3">
      <c r="A18" s="168">
        <v>50</v>
      </c>
      <c r="B18" s="180" t="s">
        <v>791</v>
      </c>
      <c r="C18" s="171"/>
      <c r="D18" s="323">
        <v>0.35</v>
      </c>
      <c r="E18" s="168" t="s">
        <v>593</v>
      </c>
      <c r="F18" s="168">
        <v>2</v>
      </c>
      <c r="G18" s="168"/>
      <c r="H18" s="168"/>
      <c r="I18" s="323">
        <f>F18*D18</f>
        <v>0.7</v>
      </c>
      <c r="K18" s="736"/>
      <c r="M18" s="736"/>
    </row>
    <row r="19" spans="1:13" s="178" customFormat="1" x14ac:dyDescent="0.3">
      <c r="H19" s="842" t="s">
        <v>547</v>
      </c>
      <c r="I19" s="918">
        <f>SUM(I14:I18)</f>
        <v>3.9499999999999993</v>
      </c>
    </row>
  </sheetData>
  <hyperlinks>
    <hyperlink ref="D2" location="'Steering tab drawing'!A1" display="FileLink1"/>
  </hyperlinks>
  <pageMargins left="0.5" right="0.5" top="0.75" bottom="0.75" header="0.3" footer="0.3"/>
  <pageSetup paperSize="9" scale="65" orientation="landscape" r:id="rId1"/>
</worksheet>
</file>

<file path=xl/worksheets/sheet3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20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9.5546875" style="161" customWidth="1"/>
    <col min="3" max="3" width="20.4414062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2.109375" style="161" customWidth="1"/>
    <col min="8" max="8" width="13.8867187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N11+I20</f>
        <v>5.8842220799999998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484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2864</v>
      </c>
      <c r="D4" s="837" t="s">
        <v>541</v>
      </c>
      <c r="J4" s="837" t="s">
        <v>538</v>
      </c>
      <c r="M4" s="837" t="s">
        <v>539</v>
      </c>
      <c r="N4" s="336">
        <f>N1*N2</f>
        <v>11.76844416</v>
      </c>
    </row>
    <row r="5" spans="1:14" x14ac:dyDescent="0.3">
      <c r="A5" s="837" t="s">
        <v>537</v>
      </c>
      <c r="B5" s="166" t="s">
        <v>489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334"/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225" t="s">
        <v>1032</v>
      </c>
      <c r="C10" s="168" t="s">
        <v>2864</v>
      </c>
      <c r="D10" s="323">
        <v>4.2</v>
      </c>
      <c r="E10" s="316">
        <f>J10*K10*L10</f>
        <v>0.2098624</v>
      </c>
      <c r="F10" s="168" t="s">
        <v>856</v>
      </c>
      <c r="G10" s="168"/>
      <c r="H10" s="219"/>
      <c r="I10" s="269" t="s">
        <v>2865</v>
      </c>
      <c r="J10" s="227">
        <f>40*44/1000000</f>
        <v>1.7600000000000001E-3</v>
      </c>
      <c r="K10" s="228">
        <v>4.3999999999999997E-2</v>
      </c>
      <c r="L10" s="219">
        <v>2710</v>
      </c>
      <c r="M10" s="222">
        <v>1</v>
      </c>
      <c r="N10" s="322">
        <f>IF(J10="",D10*M10,D10*J10*K10*L10*M10)</f>
        <v>0.88142208000000011</v>
      </c>
    </row>
    <row r="11" spans="1:14" s="178" customFormat="1" x14ac:dyDescent="0.3">
      <c r="M11" s="842" t="s">
        <v>547</v>
      </c>
      <c r="N11" s="918">
        <f>SUM(N10:N10)</f>
        <v>0.88142208000000011</v>
      </c>
    </row>
    <row r="13" spans="1:14" s="178" customFormat="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</row>
    <row r="14" spans="1:14" ht="28.8" x14ac:dyDescent="0.3">
      <c r="A14" s="168">
        <v>10</v>
      </c>
      <c r="B14" s="348" t="s">
        <v>589</v>
      </c>
      <c r="C14" s="171"/>
      <c r="D14" s="323">
        <v>1.3</v>
      </c>
      <c r="E14" s="168" t="s">
        <v>551</v>
      </c>
      <c r="F14" s="168">
        <v>1</v>
      </c>
      <c r="G14" s="168"/>
      <c r="H14" s="168"/>
      <c r="I14" s="323">
        <f t="shared" ref="I14:I19" si="0">D14*F14</f>
        <v>1.3</v>
      </c>
    </row>
    <row r="15" spans="1:14" ht="28.8" x14ac:dyDescent="0.3">
      <c r="A15" s="168">
        <v>20</v>
      </c>
      <c r="B15" s="180" t="s">
        <v>609</v>
      </c>
      <c r="C15" s="184" t="s">
        <v>1647</v>
      </c>
      <c r="D15" s="323">
        <v>0.04</v>
      </c>
      <c r="E15" s="323" t="s">
        <v>610</v>
      </c>
      <c r="F15" s="168">
        <v>33.9</v>
      </c>
      <c r="G15" s="315" t="s">
        <v>723</v>
      </c>
      <c r="H15" s="168">
        <v>1</v>
      </c>
      <c r="I15" s="323">
        <f t="shared" si="0"/>
        <v>1.3559999999999999</v>
      </c>
    </row>
    <row r="16" spans="1:14" ht="28.8" x14ac:dyDescent="0.3">
      <c r="A16" s="168">
        <v>30</v>
      </c>
      <c r="B16" s="349" t="s">
        <v>785</v>
      </c>
      <c r="C16" s="171"/>
      <c r="D16" s="323">
        <v>0.65</v>
      </c>
      <c r="E16" s="168" t="s">
        <v>551</v>
      </c>
      <c r="F16" s="168">
        <v>1</v>
      </c>
      <c r="G16" s="168"/>
      <c r="H16" s="168"/>
      <c r="I16" s="323">
        <f t="shared" si="0"/>
        <v>0.65</v>
      </c>
    </row>
    <row r="17" spans="1:13" ht="28.8" x14ac:dyDescent="0.3">
      <c r="A17" s="168">
        <v>40</v>
      </c>
      <c r="B17" s="180" t="s">
        <v>609</v>
      </c>
      <c r="C17" s="161" t="s">
        <v>2866</v>
      </c>
      <c r="D17" s="323">
        <v>0.04</v>
      </c>
      <c r="E17" s="323" t="s">
        <v>610</v>
      </c>
      <c r="F17" s="168">
        <v>3.87</v>
      </c>
      <c r="G17" s="180" t="s">
        <v>723</v>
      </c>
      <c r="H17" s="168">
        <v>1</v>
      </c>
      <c r="I17" s="323">
        <f t="shared" si="0"/>
        <v>0.15480000000000002</v>
      </c>
    </row>
    <row r="18" spans="1:13" ht="28.8" x14ac:dyDescent="0.3">
      <c r="A18" s="168">
        <v>50</v>
      </c>
      <c r="B18" s="349" t="s">
        <v>785</v>
      </c>
      <c r="C18" s="171"/>
      <c r="D18" s="323">
        <v>0.65</v>
      </c>
      <c r="E18" s="168" t="s">
        <v>551</v>
      </c>
      <c r="F18" s="168">
        <v>1</v>
      </c>
      <c r="G18" s="168"/>
      <c r="H18" s="168"/>
      <c r="I18" s="323">
        <f t="shared" si="0"/>
        <v>0.65</v>
      </c>
    </row>
    <row r="19" spans="1:13" ht="28.8" x14ac:dyDescent="0.3">
      <c r="A19" s="168">
        <v>60</v>
      </c>
      <c r="B19" s="180" t="s">
        <v>609</v>
      </c>
      <c r="C19" s="193" t="s">
        <v>2867</v>
      </c>
      <c r="D19" s="323">
        <v>0.04</v>
      </c>
      <c r="E19" s="323" t="s">
        <v>610</v>
      </c>
      <c r="F19" s="168">
        <v>22.3</v>
      </c>
      <c r="G19" s="180" t="s">
        <v>723</v>
      </c>
      <c r="H19" s="168">
        <v>1</v>
      </c>
      <c r="I19" s="323">
        <f t="shared" si="0"/>
        <v>0.89200000000000002</v>
      </c>
      <c r="L19" s="736"/>
    </row>
    <row r="20" spans="1:13" s="178" customFormat="1" x14ac:dyDescent="0.3">
      <c r="H20" s="842" t="s">
        <v>547</v>
      </c>
      <c r="I20" s="918">
        <f>SUM(I14:I19)</f>
        <v>5.0027999999999997</v>
      </c>
      <c r="M20" s="938"/>
    </row>
  </sheetData>
  <pageMargins left="0.5" right="0.5" top="0.75" bottom="0.75" header="0.3" footer="0.3"/>
  <pageSetup paperSize="9" scale="67" orientation="landscape" r:id="rId1"/>
</worksheet>
</file>

<file path=xl/worksheets/sheet3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5.5546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1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1.1971677199999999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484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2835</v>
      </c>
      <c r="D4" s="837" t="s">
        <v>541</v>
      </c>
      <c r="J4" s="837" t="s">
        <v>538</v>
      </c>
      <c r="M4" s="837" t="s">
        <v>539</v>
      </c>
      <c r="N4" s="336">
        <f>N1*N2</f>
        <v>2.3943354399999999</v>
      </c>
    </row>
    <row r="5" spans="1:14" x14ac:dyDescent="0.3">
      <c r="A5" s="837" t="s">
        <v>537</v>
      </c>
      <c r="B5" s="166" t="s">
        <v>491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334"/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225" t="s">
        <v>1032</v>
      </c>
      <c r="C10" s="184" t="s">
        <v>2835</v>
      </c>
      <c r="D10" s="323">
        <v>4.2</v>
      </c>
      <c r="E10" s="316">
        <f>J10*K10*L10</f>
        <v>7.1706599999999995E-2</v>
      </c>
      <c r="F10" s="168" t="s">
        <v>856</v>
      </c>
      <c r="G10" s="168"/>
      <c r="H10" s="219"/>
      <c r="I10" s="269" t="s">
        <v>2868</v>
      </c>
      <c r="J10" s="227">
        <f>42*42/1000000</f>
        <v>1.7639999999999999E-3</v>
      </c>
      <c r="K10" s="228">
        <v>1.4999999999999999E-2</v>
      </c>
      <c r="L10" s="219">
        <v>2710</v>
      </c>
      <c r="M10" s="222">
        <v>1</v>
      </c>
      <c r="N10" s="322">
        <f>IF(J10="",D10*M10,D10*J10*K10*L10*M10)</f>
        <v>0.30116771999999997</v>
      </c>
    </row>
    <row r="11" spans="1:14" s="178" customFormat="1" x14ac:dyDescent="0.3">
      <c r="M11" s="842" t="s">
        <v>547</v>
      </c>
      <c r="N11" s="918">
        <f>SUM(N10:N10)</f>
        <v>0.30116771999999997</v>
      </c>
    </row>
    <row r="13" spans="1:14" s="178" customFormat="1" x14ac:dyDescent="0.3">
      <c r="A13" s="839" t="s">
        <v>544</v>
      </c>
      <c r="B13" s="941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1508</v>
      </c>
      <c r="H14" s="168">
        <v>0.5</v>
      </c>
      <c r="I14" s="323">
        <f>F14*D14*H14</f>
        <v>0.65</v>
      </c>
    </row>
    <row r="15" spans="1:14" s="178" customFormat="1" ht="28.8" x14ac:dyDescent="0.3">
      <c r="A15" s="942">
        <v>20</v>
      </c>
      <c r="B15" s="180" t="s">
        <v>591</v>
      </c>
      <c r="C15" s="184" t="s">
        <v>2835</v>
      </c>
      <c r="D15" s="323">
        <v>0.01</v>
      </c>
      <c r="E15" s="168" t="s">
        <v>593</v>
      </c>
      <c r="F15" s="168">
        <v>24.6</v>
      </c>
      <c r="G15" s="180" t="s">
        <v>723</v>
      </c>
      <c r="H15" s="168">
        <v>1</v>
      </c>
      <c r="I15" s="323">
        <f>H15*F15*D15</f>
        <v>0.24600000000000002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842" t="s">
        <v>547</v>
      </c>
      <c r="I16" s="918">
        <f>SUM(I14:I15)</f>
        <v>0.89600000000000002</v>
      </c>
    </row>
  </sheetData>
  <pageMargins left="0.5" right="0.5" top="0.75" bottom="0.75" header="0.3" footer="0.3"/>
  <pageSetup paperSize="9" scale="66" orientation="landscape" r:id="rId1"/>
</worksheet>
</file>

<file path=xl/worksheets/sheet3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8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5.66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0.35948183107117943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2869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493</v>
      </c>
      <c r="D4" s="837" t="s">
        <v>541</v>
      </c>
      <c r="J4" s="837" t="s">
        <v>538</v>
      </c>
      <c r="M4" s="837" t="s">
        <v>539</v>
      </c>
      <c r="N4" s="336">
        <f>N1*N2</f>
        <v>1.4379273242847177</v>
      </c>
    </row>
    <row r="5" spans="1:14" x14ac:dyDescent="0.3">
      <c r="A5" s="837" t="s">
        <v>537</v>
      </c>
      <c r="B5" s="166" t="s">
        <v>492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720</v>
      </c>
      <c r="C10" s="168"/>
      <c r="D10" s="323">
        <v>4.2</v>
      </c>
      <c r="E10" s="220">
        <f>J10*K10*L10</f>
        <v>3.4480550169474771E-3</v>
      </c>
      <c r="F10" s="168" t="s">
        <v>856</v>
      </c>
      <c r="G10" s="168"/>
      <c r="H10" s="219"/>
      <c r="I10" s="269" t="s">
        <v>2870</v>
      </c>
      <c r="J10" s="227">
        <f>(PI()*0.018*0.018)/4</f>
        <v>2.5446900494077322E-4</v>
      </c>
      <c r="K10" s="228">
        <v>5.0000000000000001E-3</v>
      </c>
      <c r="L10" s="219">
        <v>2710</v>
      </c>
      <c r="M10" s="222">
        <v>1</v>
      </c>
      <c r="N10" s="322">
        <f>IF(J10="",D10*M10,D10*J10*K10*L10*M10)</f>
        <v>1.4481831071179405E-2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SUM(N10:N10)</f>
        <v>1.4481831071179405E-2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2829</v>
      </c>
      <c r="H14" s="168">
        <v>0.25</v>
      </c>
      <c r="I14" s="323">
        <f>F14*D14*H14</f>
        <v>0.32500000000000001</v>
      </c>
    </row>
    <row r="15" spans="1:14" ht="28.8" x14ac:dyDescent="0.3">
      <c r="A15" s="168">
        <v>20</v>
      </c>
      <c r="B15" s="180" t="s">
        <v>609</v>
      </c>
      <c r="C15" s="171"/>
      <c r="D15" s="323">
        <v>0.04</v>
      </c>
      <c r="E15" s="168" t="s">
        <v>610</v>
      </c>
      <c r="F15" s="168">
        <v>0.5</v>
      </c>
      <c r="G15" s="180" t="s">
        <v>723</v>
      </c>
      <c r="H15" s="168">
        <v>1</v>
      </c>
      <c r="I15" s="323">
        <f>F15*D15</f>
        <v>0.02</v>
      </c>
    </row>
    <row r="16" spans="1:14" s="178" customFormat="1" x14ac:dyDescent="0.3">
      <c r="H16" s="840" t="s">
        <v>547</v>
      </c>
      <c r="I16" s="841">
        <f>SUM(I14:I15)</f>
        <v>0.34500000000000003</v>
      </c>
      <c r="J16" s="161"/>
      <c r="K16" s="161"/>
      <c r="L16" s="161"/>
      <c r="M16" s="161"/>
      <c r="N16" s="161"/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19" spans="1:14" x14ac:dyDescent="0.3">
      <c r="J19" s="178"/>
    </row>
    <row r="20" spans="1:14" x14ac:dyDescent="0.3">
      <c r="K20" s="178"/>
      <c r="L20" s="178"/>
      <c r="M20" s="178"/>
      <c r="N20" s="178"/>
    </row>
    <row r="22" spans="1:14" x14ac:dyDescent="0.3">
      <c r="K22" s="178"/>
      <c r="L22" s="178"/>
      <c r="M22" s="178"/>
      <c r="N22" s="178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x14ac:dyDescent="0.3">
      <c r="K31" s="178"/>
      <c r="L31" s="178"/>
      <c r="M31" s="178"/>
      <c r="N31" s="178"/>
    </row>
    <row r="33" spans="1:14" x14ac:dyDescent="0.3">
      <c r="K33" s="178"/>
      <c r="L33" s="178"/>
      <c r="M33" s="178"/>
      <c r="N33" s="178"/>
    </row>
    <row r="36" spans="1:14" x14ac:dyDescent="0.3">
      <c r="K36" s="178"/>
      <c r="L36" s="178"/>
      <c r="M36" s="178"/>
      <c r="N36" s="178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</sheetData>
  <pageMargins left="0.5" right="0.5" top="0.75" bottom="0.75" header="0.3" footer="0.3"/>
  <pageSetup paperSize="9" scale="67" orientation="landscape" r:id="rId1"/>
</worksheet>
</file>

<file path=xl/worksheets/sheet3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8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0.66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1.5264155000000001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484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2871</v>
      </c>
      <c r="D4" s="837" t="s">
        <v>541</v>
      </c>
      <c r="J4" s="837" t="s">
        <v>538</v>
      </c>
      <c r="M4" s="837" t="s">
        <v>539</v>
      </c>
      <c r="N4" s="336">
        <f>N1*N2</f>
        <v>6.1056620000000006</v>
      </c>
    </row>
    <row r="5" spans="1:14" x14ac:dyDescent="0.3">
      <c r="A5" s="837" t="s">
        <v>537</v>
      </c>
      <c r="B5" s="166" t="s">
        <v>494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1275</v>
      </c>
      <c r="C10" s="168"/>
      <c r="D10" s="323">
        <v>2.25</v>
      </c>
      <c r="E10" s="220">
        <v>4.2000000000000003E-2</v>
      </c>
      <c r="F10" s="168" t="s">
        <v>644</v>
      </c>
      <c r="G10" s="168">
        <v>0.05</v>
      </c>
      <c r="H10" s="219" t="s">
        <v>644</v>
      </c>
      <c r="I10" s="269" t="s">
        <v>2872</v>
      </c>
      <c r="J10" s="227">
        <f>E10*G10</f>
        <v>2.1000000000000003E-3</v>
      </c>
      <c r="K10" s="228">
        <v>3.0000000000000001E-3</v>
      </c>
      <c r="L10" s="219">
        <v>7860</v>
      </c>
      <c r="M10" s="222">
        <v>1</v>
      </c>
      <c r="N10" s="322">
        <f>IF(J10="",D10*M10,D10*J10*K10*L10*M10)</f>
        <v>0.11141550000000001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SUM(N10:N10)</f>
        <v>0.11141550000000001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1508</v>
      </c>
      <c r="H14" s="168">
        <v>0.5</v>
      </c>
      <c r="I14" s="323">
        <f>F14*D14*H14</f>
        <v>0.65</v>
      </c>
    </row>
    <row r="15" spans="1:14" x14ac:dyDescent="0.3">
      <c r="A15" s="168">
        <v>20</v>
      </c>
      <c r="B15" s="180" t="s">
        <v>700</v>
      </c>
      <c r="C15" s="171"/>
      <c r="D15" s="323">
        <v>0.01</v>
      </c>
      <c r="E15" s="168" t="s">
        <v>593</v>
      </c>
      <c r="F15" s="168">
        <v>25.5</v>
      </c>
      <c r="G15" s="180" t="s">
        <v>598</v>
      </c>
      <c r="H15" s="168">
        <v>3</v>
      </c>
      <c r="I15" s="323">
        <f>F15*D15*H15</f>
        <v>0.76500000000000001</v>
      </c>
    </row>
    <row r="16" spans="1:14" s="178" customFormat="1" x14ac:dyDescent="0.3">
      <c r="H16" s="840" t="s">
        <v>547</v>
      </c>
      <c r="I16" s="841">
        <f>SUM(I14:I15)</f>
        <v>1.415</v>
      </c>
      <c r="J16" s="161"/>
      <c r="K16" s="161"/>
      <c r="L16" s="161"/>
      <c r="M16" s="161"/>
      <c r="N16" s="161"/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19" spans="1:14" x14ac:dyDescent="0.3">
      <c r="J19" s="178"/>
    </row>
    <row r="20" spans="1:14" x14ac:dyDescent="0.3">
      <c r="K20" s="178"/>
      <c r="L20" s="178"/>
      <c r="M20" s="178"/>
      <c r="N20" s="178"/>
    </row>
    <row r="22" spans="1:14" x14ac:dyDescent="0.3">
      <c r="K22" s="178"/>
      <c r="L22" s="178"/>
      <c r="M22" s="178"/>
      <c r="N22" s="178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x14ac:dyDescent="0.3">
      <c r="K31" s="178"/>
      <c r="L31" s="178"/>
      <c r="M31" s="178"/>
      <c r="N31" s="178"/>
    </row>
    <row r="33" spans="1:14" x14ac:dyDescent="0.3">
      <c r="K33" s="178"/>
      <c r="L33" s="178"/>
      <c r="M33" s="178"/>
      <c r="N33" s="178"/>
    </row>
    <row r="36" spans="1:14" x14ac:dyDescent="0.3">
      <c r="K36" s="178"/>
      <c r="L36" s="178"/>
      <c r="M36" s="178"/>
      <c r="N36" s="178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</sheetData>
  <pageMargins left="0.5" right="0.5" top="0.75" bottom="0.75" header="0.3" footer="0.3"/>
  <pageSetup paperSize="9" scale="65" orientation="landscape" r:id="rId1"/>
</worksheet>
</file>

<file path=xl/worksheets/sheet3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8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0.39686002835659467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2869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495</v>
      </c>
      <c r="D4" s="837" t="s">
        <v>541</v>
      </c>
      <c r="J4" s="837" t="s">
        <v>538</v>
      </c>
      <c r="M4" s="837" t="s">
        <v>539</v>
      </c>
      <c r="N4" s="336">
        <f>N1*N2</f>
        <v>1.5874401134263787</v>
      </c>
    </row>
    <row r="5" spans="1:14" x14ac:dyDescent="0.3">
      <c r="A5" s="837" t="s">
        <v>537</v>
      </c>
      <c r="B5" s="166" t="s">
        <v>2873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720</v>
      </c>
      <c r="C10" s="168"/>
      <c r="D10" s="323">
        <v>4.2</v>
      </c>
      <c r="E10" s="220">
        <f>J10*K10*L10</f>
        <v>7.5857210372844491E-3</v>
      </c>
      <c r="F10" s="168" t="s">
        <v>856</v>
      </c>
      <c r="G10" s="168"/>
      <c r="H10" s="219"/>
      <c r="I10" s="269" t="s">
        <v>2870</v>
      </c>
      <c r="J10" s="227">
        <f>(PI()*0.018*0.018)/4</f>
        <v>2.5446900494077322E-4</v>
      </c>
      <c r="K10" s="228">
        <v>1.0999999999999999E-2</v>
      </c>
      <c r="L10" s="219">
        <v>2710</v>
      </c>
      <c r="M10" s="222">
        <v>1</v>
      </c>
      <c r="N10" s="322">
        <f>IF(J10="",D10*M10,D10*J10*K10*L10*M10)</f>
        <v>3.186002835659469E-2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SUM(N10:N10)</f>
        <v>3.186002835659469E-2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2829</v>
      </c>
      <c r="H14" s="168">
        <v>0.25</v>
      </c>
      <c r="I14" s="323">
        <f>F14*D14*H14</f>
        <v>0.32500000000000001</v>
      </c>
    </row>
    <row r="15" spans="1:14" ht="28.8" x14ac:dyDescent="0.3">
      <c r="A15" s="168">
        <v>20</v>
      </c>
      <c r="B15" s="180" t="s">
        <v>609</v>
      </c>
      <c r="C15" s="171"/>
      <c r="D15" s="323">
        <v>0.04</v>
      </c>
      <c r="E15" s="168" t="s">
        <v>610</v>
      </c>
      <c r="F15" s="168">
        <v>1</v>
      </c>
      <c r="G15" s="180" t="s">
        <v>723</v>
      </c>
      <c r="H15" s="168">
        <v>1</v>
      </c>
      <c r="I15" s="323">
        <f>F15*D15</f>
        <v>0.04</v>
      </c>
    </row>
    <row r="16" spans="1:14" s="178" customFormat="1" x14ac:dyDescent="0.3">
      <c r="H16" s="840" t="s">
        <v>547</v>
      </c>
      <c r="I16" s="841">
        <f>SUM(I14:I15)</f>
        <v>0.36499999999999999</v>
      </c>
      <c r="J16" s="161"/>
      <c r="K16" s="161"/>
      <c r="L16" s="161"/>
      <c r="M16" s="161"/>
      <c r="N16" s="161"/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19" spans="1:14" x14ac:dyDescent="0.3">
      <c r="J19" s="178"/>
    </row>
    <row r="20" spans="1:14" x14ac:dyDescent="0.3">
      <c r="K20" s="178"/>
      <c r="L20" s="178"/>
      <c r="M20" s="178"/>
      <c r="N20" s="178"/>
    </row>
    <row r="22" spans="1:14" x14ac:dyDescent="0.3">
      <c r="K22" s="178"/>
      <c r="L22" s="178"/>
      <c r="M22" s="178"/>
      <c r="N22" s="178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x14ac:dyDescent="0.3">
      <c r="K31" s="178"/>
      <c r="L31" s="178"/>
      <c r="M31" s="178"/>
      <c r="N31" s="178"/>
    </row>
    <row r="33" spans="1:14" x14ac:dyDescent="0.3">
      <c r="K33" s="178"/>
      <c r="L33" s="178"/>
      <c r="M33" s="178"/>
      <c r="N33" s="178"/>
    </row>
    <row r="36" spans="1:14" x14ac:dyDescent="0.3">
      <c r="K36" s="178"/>
      <c r="L36" s="178"/>
      <c r="M36" s="178"/>
      <c r="N36" s="178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</sheetData>
  <pageMargins left="0.5" right="0.5" top="0.75" bottom="0.75" header="0.3" footer="0.3"/>
  <pageSetup paperSize="9" scale="67" orientation="landscape" r:id="rId1"/>
</worksheet>
</file>

<file path=xl/worksheets/sheet3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6D00"/>
    <pageSetUpPr fitToPage="1"/>
  </sheetPr>
  <dimension ref="A1:N43"/>
  <sheetViews>
    <sheetView showGridLines="0" workbookViewId="0"/>
  </sheetViews>
  <sheetFormatPr defaultColWidth="9.109375" defaultRowHeight="14.4" x14ac:dyDescent="0.3"/>
  <cols>
    <col min="1" max="1" width="10.5546875" style="161" bestFit="1" customWidth="1"/>
    <col min="2" max="2" width="27.6640625" style="161" customWidth="1"/>
    <col min="3" max="3" width="33.441406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3.886718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4" x14ac:dyDescent="0.3">
      <c r="A1" s="919" t="s">
        <v>523</v>
      </c>
      <c r="B1" s="161" t="s">
        <v>524</v>
      </c>
      <c r="J1" s="919" t="s">
        <v>528</v>
      </c>
      <c r="K1" s="163">
        <v>81</v>
      </c>
      <c r="M1" s="919" t="s">
        <v>531</v>
      </c>
      <c r="N1" s="336">
        <f>E16+I31+J42</f>
        <v>174.98651257156874</v>
      </c>
    </row>
    <row r="2" spans="1:14" x14ac:dyDescent="0.3">
      <c r="A2" s="919" t="s">
        <v>532</v>
      </c>
      <c r="B2" s="161" t="s">
        <v>411</v>
      </c>
      <c r="M2" s="919" t="s">
        <v>533</v>
      </c>
      <c r="N2" s="165">
        <v>2</v>
      </c>
    </row>
    <row r="3" spans="1:14" x14ac:dyDescent="0.3">
      <c r="A3" s="919" t="s">
        <v>534</v>
      </c>
      <c r="B3" s="161" t="s">
        <v>497</v>
      </c>
      <c r="J3" s="919" t="s">
        <v>536</v>
      </c>
    </row>
    <row r="4" spans="1:14" x14ac:dyDescent="0.3">
      <c r="A4" s="919" t="s">
        <v>537</v>
      </c>
      <c r="B4" s="166" t="s">
        <v>496</v>
      </c>
      <c r="J4" s="919" t="s">
        <v>538</v>
      </c>
      <c r="M4" s="919" t="s">
        <v>539</v>
      </c>
      <c r="N4" s="336">
        <f>N1*N2</f>
        <v>349.97302514313748</v>
      </c>
    </row>
    <row r="5" spans="1:14" x14ac:dyDescent="0.3">
      <c r="A5" s="919" t="s">
        <v>540</v>
      </c>
      <c r="B5" s="161" t="s">
        <v>36</v>
      </c>
      <c r="J5" s="919" t="s">
        <v>541</v>
      </c>
    </row>
    <row r="6" spans="1:14" x14ac:dyDescent="0.3">
      <c r="A6" s="919" t="s">
        <v>542</v>
      </c>
      <c r="B6" s="334"/>
    </row>
    <row r="8" spans="1:14" x14ac:dyDescent="0.3">
      <c r="A8" s="920" t="s">
        <v>544</v>
      </c>
      <c r="B8" s="920" t="s">
        <v>545</v>
      </c>
      <c r="C8" s="920" t="s">
        <v>546</v>
      </c>
      <c r="D8" s="920" t="s">
        <v>28</v>
      </c>
      <c r="E8" s="920" t="s">
        <v>547</v>
      </c>
    </row>
    <row r="9" spans="1:14" x14ac:dyDescent="0.3">
      <c r="A9" s="168">
        <v>10</v>
      </c>
      <c r="B9" s="168" t="s">
        <v>499</v>
      </c>
      <c r="C9" s="323">
        <f>'SU 12001'!N1</f>
        <v>143.60315641599999</v>
      </c>
      <c r="D9" s="171">
        <v>1</v>
      </c>
      <c r="E9" s="322">
        <f t="shared" ref="E9:E15" si="0">C9*D9</f>
        <v>143.60315641599999</v>
      </c>
    </row>
    <row r="10" spans="1:14" x14ac:dyDescent="0.3">
      <c r="A10" s="168">
        <v>20</v>
      </c>
      <c r="B10" s="168" t="s">
        <v>490</v>
      </c>
      <c r="C10" s="323">
        <f>'SU 12002'!N1</f>
        <v>5.8842220799999998</v>
      </c>
      <c r="D10" s="171">
        <v>2</v>
      </c>
      <c r="E10" s="322">
        <f t="shared" si="0"/>
        <v>11.76844416</v>
      </c>
    </row>
    <row r="11" spans="1:14" x14ac:dyDescent="0.3">
      <c r="A11" s="168">
        <v>30</v>
      </c>
      <c r="B11" s="168" t="s">
        <v>2835</v>
      </c>
      <c r="C11" s="323">
        <f>'SU 12003'!N1</f>
        <v>0.87216771999999998</v>
      </c>
      <c r="D11" s="171">
        <v>2</v>
      </c>
      <c r="E11" s="322">
        <f t="shared" si="0"/>
        <v>1.74433544</v>
      </c>
    </row>
    <row r="12" spans="1:14" x14ac:dyDescent="0.3">
      <c r="A12" s="168">
        <v>40</v>
      </c>
      <c r="B12" s="168" t="s">
        <v>2874</v>
      </c>
      <c r="C12" s="323">
        <f>'SU 12004'!$N$1</f>
        <v>1.9277572800000002</v>
      </c>
      <c r="D12" s="171">
        <v>1</v>
      </c>
      <c r="E12" s="322">
        <f t="shared" si="0"/>
        <v>1.9277572800000002</v>
      </c>
    </row>
    <row r="13" spans="1:14" x14ac:dyDescent="0.3">
      <c r="A13" s="168">
        <v>50</v>
      </c>
      <c r="B13" s="168" t="s">
        <v>2871</v>
      </c>
      <c r="C13" s="323">
        <f>'SU 12005'!N1</f>
        <v>1.5264155000000001</v>
      </c>
      <c r="D13" s="171">
        <v>1</v>
      </c>
      <c r="E13" s="322">
        <f t="shared" si="0"/>
        <v>1.5264155000000001</v>
      </c>
    </row>
    <row r="14" spans="1:14" x14ac:dyDescent="0.3">
      <c r="A14" s="168">
        <v>60</v>
      </c>
      <c r="B14" s="168" t="s">
        <v>493</v>
      </c>
      <c r="C14" s="323">
        <f>'SU 12006'!N1</f>
        <v>0.35948183107117943</v>
      </c>
      <c r="D14" s="171">
        <v>2</v>
      </c>
      <c r="E14" s="322">
        <f t="shared" si="0"/>
        <v>0.71896366214235885</v>
      </c>
    </row>
    <row r="15" spans="1:14" x14ac:dyDescent="0.3">
      <c r="A15" s="168">
        <v>70</v>
      </c>
      <c r="B15" s="168" t="s">
        <v>495</v>
      </c>
      <c r="C15" s="323">
        <f>'SU 12007'!N1</f>
        <v>0.2343600283565947</v>
      </c>
      <c r="D15" s="171">
        <v>4</v>
      </c>
      <c r="E15" s="322">
        <f t="shared" si="0"/>
        <v>0.93744011342637878</v>
      </c>
    </row>
    <row r="16" spans="1:14" x14ac:dyDescent="0.3">
      <c r="D16" s="836" t="s">
        <v>547</v>
      </c>
      <c r="E16" s="921">
        <f>SUM(E9:E15)</f>
        <v>162.22651257156875</v>
      </c>
    </row>
    <row r="18" spans="1:9" s="178" customFormat="1" x14ac:dyDescent="0.3">
      <c r="A18" s="920" t="s">
        <v>544</v>
      </c>
      <c r="B18" s="920" t="s">
        <v>548</v>
      </c>
      <c r="C18" s="920" t="s">
        <v>549</v>
      </c>
      <c r="D18" s="920" t="s">
        <v>550</v>
      </c>
      <c r="E18" s="920" t="s">
        <v>551</v>
      </c>
      <c r="F18" s="920" t="s">
        <v>28</v>
      </c>
      <c r="G18" s="920" t="s">
        <v>552</v>
      </c>
      <c r="H18" s="920" t="s">
        <v>553</v>
      </c>
      <c r="I18" s="920" t="s">
        <v>547</v>
      </c>
    </row>
    <row r="19" spans="1:9" x14ac:dyDescent="0.3">
      <c r="A19" s="168">
        <v>10</v>
      </c>
      <c r="B19" s="180" t="s">
        <v>1006</v>
      </c>
      <c r="C19" s="171" t="s">
        <v>2837</v>
      </c>
      <c r="D19" s="323">
        <v>0.56000000000000005</v>
      </c>
      <c r="E19" s="168" t="s">
        <v>551</v>
      </c>
      <c r="F19" s="168">
        <v>1</v>
      </c>
      <c r="G19" s="168"/>
      <c r="H19" s="168">
        <v>1</v>
      </c>
      <c r="I19" s="323">
        <f>D19*F19*H19</f>
        <v>0.56000000000000005</v>
      </c>
    </row>
    <row r="20" spans="1:9" x14ac:dyDescent="0.3">
      <c r="A20" s="168">
        <v>20</v>
      </c>
      <c r="B20" s="180" t="s">
        <v>749</v>
      </c>
      <c r="C20" s="184" t="s">
        <v>2841</v>
      </c>
      <c r="D20" s="323">
        <v>0.13</v>
      </c>
      <c r="E20" s="168" t="s">
        <v>551</v>
      </c>
      <c r="F20" s="168">
        <v>2</v>
      </c>
      <c r="G20" s="168"/>
      <c r="H20" s="168">
        <v>1</v>
      </c>
      <c r="I20" s="323">
        <f t="shared" ref="I20:I28" si="1">F20*D20</f>
        <v>0.26</v>
      </c>
    </row>
    <row r="21" spans="1:9" x14ac:dyDescent="0.3">
      <c r="A21" s="168">
        <v>30</v>
      </c>
      <c r="B21" s="349" t="s">
        <v>749</v>
      </c>
      <c r="C21" s="168" t="s">
        <v>2842</v>
      </c>
      <c r="D21" s="323">
        <v>0.13</v>
      </c>
      <c r="E21" s="168" t="s">
        <v>551</v>
      </c>
      <c r="F21" s="168">
        <v>2</v>
      </c>
      <c r="G21" s="168"/>
      <c r="H21" s="168">
        <v>1</v>
      </c>
      <c r="I21" s="323">
        <f t="shared" si="1"/>
        <v>0.26</v>
      </c>
    </row>
    <row r="22" spans="1:9" x14ac:dyDescent="0.3">
      <c r="A22" s="168">
        <v>40</v>
      </c>
      <c r="B22" s="180" t="s">
        <v>659</v>
      </c>
      <c r="C22" s="171" t="s">
        <v>2843</v>
      </c>
      <c r="D22" s="323">
        <v>0.5</v>
      </c>
      <c r="E22" s="168" t="s">
        <v>551</v>
      </c>
      <c r="F22" s="168">
        <v>4</v>
      </c>
      <c r="G22" s="168"/>
      <c r="H22" s="168">
        <v>1</v>
      </c>
      <c r="I22" s="323">
        <f t="shared" si="1"/>
        <v>2</v>
      </c>
    </row>
    <row r="23" spans="1:9" x14ac:dyDescent="0.3">
      <c r="A23" s="168">
        <v>50</v>
      </c>
      <c r="B23" s="350" t="s">
        <v>660</v>
      </c>
      <c r="C23" s="171" t="s">
        <v>2843</v>
      </c>
      <c r="D23" s="323">
        <v>0.25</v>
      </c>
      <c r="E23" s="168" t="s">
        <v>551</v>
      </c>
      <c r="F23" s="168">
        <v>4</v>
      </c>
      <c r="G23" s="168"/>
      <c r="H23" s="168">
        <v>1</v>
      </c>
      <c r="I23" s="323">
        <f t="shared" si="1"/>
        <v>1</v>
      </c>
    </row>
    <row r="24" spans="1:9" x14ac:dyDescent="0.3">
      <c r="A24" s="168">
        <v>60</v>
      </c>
      <c r="B24" s="180" t="s">
        <v>557</v>
      </c>
      <c r="C24" s="193" t="s">
        <v>2847</v>
      </c>
      <c r="D24" s="323">
        <v>0.06</v>
      </c>
      <c r="E24" s="168" t="s">
        <v>551</v>
      </c>
      <c r="F24" s="168">
        <v>6</v>
      </c>
      <c r="G24" s="168"/>
      <c r="H24" s="168">
        <v>1</v>
      </c>
      <c r="I24" s="323">
        <f t="shared" si="1"/>
        <v>0.36</v>
      </c>
    </row>
    <row r="25" spans="1:9" x14ac:dyDescent="0.3">
      <c r="A25" s="168">
        <v>70</v>
      </c>
      <c r="B25" s="180" t="s">
        <v>557</v>
      </c>
      <c r="C25" s="193" t="s">
        <v>2875</v>
      </c>
      <c r="D25" s="323">
        <v>0.06</v>
      </c>
      <c r="E25" s="168" t="s">
        <v>551</v>
      </c>
      <c r="F25" s="168">
        <v>2</v>
      </c>
      <c r="G25" s="168"/>
      <c r="H25" s="168"/>
      <c r="I25" s="323">
        <f t="shared" si="1"/>
        <v>0.12</v>
      </c>
    </row>
    <row r="26" spans="1:9" x14ac:dyDescent="0.3">
      <c r="A26" s="168">
        <v>80</v>
      </c>
      <c r="B26" s="180" t="s">
        <v>659</v>
      </c>
      <c r="C26" s="171" t="s">
        <v>2876</v>
      </c>
      <c r="D26" s="323">
        <v>0.5</v>
      </c>
      <c r="E26" s="168" t="s">
        <v>551</v>
      </c>
      <c r="F26" s="168">
        <v>4</v>
      </c>
      <c r="G26" s="168"/>
      <c r="H26" s="168"/>
      <c r="I26" s="323">
        <f t="shared" si="1"/>
        <v>2</v>
      </c>
    </row>
    <row r="27" spans="1:9" x14ac:dyDescent="0.3">
      <c r="A27" s="168">
        <v>90</v>
      </c>
      <c r="B27" s="180" t="s">
        <v>2877</v>
      </c>
      <c r="C27" s="171" t="s">
        <v>2878</v>
      </c>
      <c r="D27" s="323">
        <v>0.25</v>
      </c>
      <c r="E27" s="168" t="s">
        <v>551</v>
      </c>
      <c r="F27" s="168">
        <v>2</v>
      </c>
      <c r="G27" s="168"/>
      <c r="H27" s="168"/>
      <c r="I27" s="323">
        <f t="shared" si="1"/>
        <v>0.5</v>
      </c>
    </row>
    <row r="28" spans="1:9" x14ac:dyDescent="0.3">
      <c r="A28" s="168">
        <v>100</v>
      </c>
      <c r="B28" s="315" t="s">
        <v>1367</v>
      </c>
      <c r="C28" s="171" t="s">
        <v>2848</v>
      </c>
      <c r="D28" s="323">
        <v>0.63</v>
      </c>
      <c r="E28" s="168" t="s">
        <v>551</v>
      </c>
      <c r="F28" s="168">
        <v>1</v>
      </c>
      <c r="G28" s="168"/>
      <c r="H28" s="168">
        <v>1</v>
      </c>
      <c r="I28" s="323">
        <f t="shared" si="1"/>
        <v>0.63</v>
      </c>
    </row>
    <row r="29" spans="1:9" x14ac:dyDescent="0.3">
      <c r="A29" s="168">
        <v>110</v>
      </c>
      <c r="B29" s="180" t="s">
        <v>559</v>
      </c>
      <c r="C29" s="171" t="s">
        <v>2879</v>
      </c>
      <c r="D29" s="323">
        <v>0.75</v>
      </c>
      <c r="E29" s="168" t="s">
        <v>551</v>
      </c>
      <c r="F29" s="168">
        <v>3</v>
      </c>
      <c r="G29" s="168"/>
      <c r="H29" s="168">
        <v>1</v>
      </c>
      <c r="I29" s="323">
        <f>D29*F29*H29</f>
        <v>2.25</v>
      </c>
    </row>
    <row r="30" spans="1:9" x14ac:dyDescent="0.3">
      <c r="A30" s="168">
        <v>120</v>
      </c>
      <c r="B30" s="180" t="s">
        <v>616</v>
      </c>
      <c r="C30" s="171" t="s">
        <v>2880</v>
      </c>
      <c r="D30" s="323">
        <v>0.25</v>
      </c>
      <c r="E30" s="168" t="s">
        <v>551</v>
      </c>
      <c r="F30" s="168">
        <v>3</v>
      </c>
      <c r="G30" s="168"/>
      <c r="H30" s="168">
        <v>1</v>
      </c>
      <c r="I30" s="323">
        <f>D30*F30*H30</f>
        <v>0.75</v>
      </c>
    </row>
    <row r="31" spans="1:9" s="178" customFormat="1" x14ac:dyDescent="0.3">
      <c r="H31" s="836" t="s">
        <v>547</v>
      </c>
      <c r="I31" s="920">
        <f>SUM(I19:I30)</f>
        <v>10.690000000000001</v>
      </c>
    </row>
    <row r="33" spans="1:10" s="178" customFormat="1" x14ac:dyDescent="0.3">
      <c r="A33" s="920" t="s">
        <v>544</v>
      </c>
      <c r="B33" s="920" t="s">
        <v>566</v>
      </c>
      <c r="C33" s="920" t="s">
        <v>549</v>
      </c>
      <c r="D33" s="920" t="s">
        <v>550</v>
      </c>
      <c r="E33" s="920" t="s">
        <v>567</v>
      </c>
      <c r="F33" s="920" t="s">
        <v>568</v>
      </c>
      <c r="G33" s="920" t="s">
        <v>569</v>
      </c>
      <c r="H33" s="920" t="s">
        <v>570</v>
      </c>
      <c r="I33" s="920" t="s">
        <v>28</v>
      </c>
      <c r="J33" s="920" t="s">
        <v>547</v>
      </c>
    </row>
    <row r="34" spans="1:10" x14ac:dyDescent="0.3">
      <c r="A34" s="168">
        <v>10</v>
      </c>
      <c r="B34" s="225" t="s">
        <v>684</v>
      </c>
      <c r="C34" s="168" t="s">
        <v>2850</v>
      </c>
      <c r="D34" s="323">
        <v>0.12</v>
      </c>
      <c r="E34" s="168">
        <v>6</v>
      </c>
      <c r="F34" s="245" t="s">
        <v>573</v>
      </c>
      <c r="G34" s="168">
        <v>50</v>
      </c>
      <c r="H34" s="171" t="s">
        <v>573</v>
      </c>
      <c r="I34" s="327">
        <v>4</v>
      </c>
      <c r="J34" s="323">
        <f>D34*I34</f>
        <v>0.48</v>
      </c>
    </row>
    <row r="35" spans="1:10" ht="16.5" customHeight="1" x14ac:dyDescent="0.3">
      <c r="A35" s="168">
        <v>20</v>
      </c>
      <c r="B35" s="225" t="s">
        <v>1375</v>
      </c>
      <c r="C35" s="184" t="s">
        <v>2852</v>
      </c>
      <c r="D35" s="323">
        <v>0.28999999999999998</v>
      </c>
      <c r="E35" s="168">
        <v>8</v>
      </c>
      <c r="F35" s="245" t="s">
        <v>573</v>
      </c>
      <c r="G35" s="168">
        <v>45</v>
      </c>
      <c r="H35" s="171" t="s">
        <v>573</v>
      </c>
      <c r="I35" s="327">
        <v>3</v>
      </c>
      <c r="J35" s="323">
        <f t="shared" ref="J35:J41" si="2">D35*I35</f>
        <v>0.86999999999999988</v>
      </c>
    </row>
    <row r="36" spans="1:10" x14ac:dyDescent="0.3">
      <c r="A36" s="168">
        <v>30</v>
      </c>
      <c r="B36" s="356" t="s">
        <v>618</v>
      </c>
      <c r="C36" s="168" t="s">
        <v>2854</v>
      </c>
      <c r="D36" s="323">
        <v>0.04</v>
      </c>
      <c r="E36" s="168">
        <v>8</v>
      </c>
      <c r="F36" s="245" t="s">
        <v>573</v>
      </c>
      <c r="G36" s="168"/>
      <c r="H36" s="171"/>
      <c r="I36" s="327">
        <v>3</v>
      </c>
      <c r="J36" s="323">
        <f t="shared" si="2"/>
        <v>0.12</v>
      </c>
    </row>
    <row r="37" spans="1:10" x14ac:dyDescent="0.3">
      <c r="A37" s="168">
        <v>40</v>
      </c>
      <c r="B37" s="356" t="s">
        <v>684</v>
      </c>
      <c r="C37" s="168" t="s">
        <v>2881</v>
      </c>
      <c r="D37" s="323">
        <v>0.08</v>
      </c>
      <c r="E37" s="168">
        <v>6</v>
      </c>
      <c r="F37" s="245" t="s">
        <v>573</v>
      </c>
      <c r="G37" s="168">
        <v>35</v>
      </c>
      <c r="H37" s="171" t="s">
        <v>573</v>
      </c>
      <c r="I37" s="327">
        <v>2</v>
      </c>
      <c r="J37" s="323">
        <f t="shared" si="2"/>
        <v>0.16</v>
      </c>
    </row>
    <row r="38" spans="1:10" x14ac:dyDescent="0.3">
      <c r="A38" s="168">
        <v>50</v>
      </c>
      <c r="B38" s="356" t="s">
        <v>684</v>
      </c>
      <c r="C38" s="168" t="s">
        <v>2882</v>
      </c>
      <c r="D38" s="323">
        <v>0.1</v>
      </c>
      <c r="E38" s="168">
        <v>6</v>
      </c>
      <c r="F38" s="245" t="s">
        <v>573</v>
      </c>
      <c r="G38" s="168">
        <v>45</v>
      </c>
      <c r="H38" s="171" t="s">
        <v>573</v>
      </c>
      <c r="I38" s="327">
        <v>2</v>
      </c>
      <c r="J38" s="323">
        <f t="shared" si="2"/>
        <v>0.2</v>
      </c>
    </row>
    <row r="39" spans="1:10" x14ac:dyDescent="0.3">
      <c r="A39" s="168">
        <v>60</v>
      </c>
      <c r="B39" s="356" t="s">
        <v>618</v>
      </c>
      <c r="C39" s="168" t="s">
        <v>2883</v>
      </c>
      <c r="D39" s="323">
        <v>0.04</v>
      </c>
      <c r="E39" s="168">
        <v>8</v>
      </c>
      <c r="F39" s="245" t="s">
        <v>573</v>
      </c>
      <c r="G39" s="168"/>
      <c r="H39" s="171"/>
      <c r="I39" s="327">
        <v>2</v>
      </c>
      <c r="J39" s="323">
        <f t="shared" si="2"/>
        <v>0.08</v>
      </c>
    </row>
    <row r="40" spans="1:10" x14ac:dyDescent="0.3">
      <c r="A40" s="168">
        <v>70</v>
      </c>
      <c r="B40" s="356" t="s">
        <v>2884</v>
      </c>
      <c r="C40" s="168" t="s">
        <v>2885</v>
      </c>
      <c r="D40" s="323">
        <v>0.01</v>
      </c>
      <c r="E40" s="168">
        <v>6</v>
      </c>
      <c r="F40" s="245" t="s">
        <v>573</v>
      </c>
      <c r="G40" s="168"/>
      <c r="H40" s="171"/>
      <c r="I40" s="327">
        <v>10</v>
      </c>
      <c r="J40" s="323">
        <f t="shared" si="2"/>
        <v>0.1</v>
      </c>
    </row>
    <row r="41" spans="1:10" x14ac:dyDescent="0.3">
      <c r="A41" s="168">
        <v>80</v>
      </c>
      <c r="B41" s="356" t="s">
        <v>574</v>
      </c>
      <c r="C41" s="168" t="s">
        <v>2857</v>
      </c>
      <c r="D41" s="323">
        <v>0.01</v>
      </c>
      <c r="E41" s="168">
        <v>8</v>
      </c>
      <c r="F41" s="245" t="s">
        <v>573</v>
      </c>
      <c r="G41" s="168"/>
      <c r="H41" s="171"/>
      <c r="I41" s="327">
        <v>6</v>
      </c>
      <c r="J41" s="323">
        <f t="shared" si="2"/>
        <v>0.06</v>
      </c>
    </row>
    <row r="42" spans="1:10" s="178" customFormat="1" x14ac:dyDescent="0.3">
      <c r="I42" s="836" t="s">
        <v>547</v>
      </c>
      <c r="J42" s="921">
        <f>SUM(J34:J41)</f>
        <v>2.0699999999999998</v>
      </c>
    </row>
    <row r="43" spans="1:10" x14ac:dyDescent="0.3">
      <c r="H43" s="326"/>
      <c r="I43" s="325"/>
    </row>
  </sheetData>
  <pageMargins left="0.7" right="0.7" top="0.75" bottom="0.75" header="0.3" footer="0.3"/>
  <pageSetup paperSize="9" scale="67" orientation="landscape" r:id="rId1"/>
</worksheet>
</file>

<file path=xl/worksheets/sheet3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20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9" style="161" customWidth="1"/>
    <col min="3" max="3" width="21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1.5546875" style="161" customWidth="1"/>
    <col min="8" max="8" width="13.88671875" style="161" bestFit="1" customWidth="1"/>
    <col min="9" max="9" width="18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N11+I19</f>
        <v>143.60315641599999</v>
      </c>
    </row>
    <row r="2" spans="1:14" x14ac:dyDescent="0.3">
      <c r="A2" s="837" t="s">
        <v>532</v>
      </c>
      <c r="B2" s="161" t="s">
        <v>411</v>
      </c>
      <c r="C2" s="359" t="s">
        <v>732</v>
      </c>
      <c r="D2" s="843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497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499</v>
      </c>
      <c r="D4" s="837" t="s">
        <v>541</v>
      </c>
      <c r="J4" s="837" t="s">
        <v>538</v>
      </c>
      <c r="M4" s="837" t="s">
        <v>539</v>
      </c>
      <c r="N4" s="336">
        <f>N1*N2</f>
        <v>287.20631283199998</v>
      </c>
    </row>
    <row r="5" spans="1:14" x14ac:dyDescent="0.3">
      <c r="A5" s="837" t="s">
        <v>537</v>
      </c>
      <c r="B5" s="166" t="s">
        <v>498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334"/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225" t="s">
        <v>2858</v>
      </c>
      <c r="C10" s="168" t="s">
        <v>486</v>
      </c>
      <c r="D10" s="323">
        <v>4.2</v>
      </c>
      <c r="E10" s="316">
        <f>J10*K10*L10</f>
        <v>8.7031324799999989</v>
      </c>
      <c r="F10" s="168" t="s">
        <v>856</v>
      </c>
      <c r="G10" s="168"/>
      <c r="H10" s="219"/>
      <c r="I10" s="269" t="s">
        <v>2886</v>
      </c>
      <c r="J10" s="227">
        <f>252*177/1000000</f>
        <v>4.4603999999999998E-2</v>
      </c>
      <c r="K10" s="228">
        <v>7.1999999999999995E-2</v>
      </c>
      <c r="L10" s="219">
        <v>2710</v>
      </c>
      <c r="M10" s="222">
        <v>1</v>
      </c>
      <c r="N10" s="322">
        <f>IF(J10="",D10*M10,D10*J10*K10*L10*M10)</f>
        <v>36.553156415999993</v>
      </c>
    </row>
    <row r="11" spans="1:14" s="178" customFormat="1" x14ac:dyDescent="0.3">
      <c r="M11" s="842" t="s">
        <v>547</v>
      </c>
      <c r="N11" s="918">
        <f>SUM(N10:N10)</f>
        <v>36.553156415999993</v>
      </c>
    </row>
    <row r="13" spans="1:14" s="178" customFormat="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</row>
    <row r="14" spans="1:14" ht="28.8" x14ac:dyDescent="0.3">
      <c r="A14" s="168">
        <v>10</v>
      </c>
      <c r="B14" s="315" t="s">
        <v>589</v>
      </c>
      <c r="C14" s="171"/>
      <c r="D14" s="323">
        <v>1.3</v>
      </c>
      <c r="E14" s="168" t="s">
        <v>551</v>
      </c>
      <c r="F14" s="168">
        <v>1</v>
      </c>
      <c r="G14" s="168"/>
      <c r="H14" s="168"/>
      <c r="I14" s="323">
        <f>IF('SU 12001'!$H14&lt;&gt;"",'SU 12001'!$D14*'SU 12001'!$F14*'SU 12001'!$H14,'SU 12001'!$D14*'SU 12001'!$F14)</f>
        <v>1.3</v>
      </c>
    </row>
    <row r="15" spans="1:14" ht="28.8" x14ac:dyDescent="0.3">
      <c r="A15" s="168">
        <v>20</v>
      </c>
      <c r="B15" s="171" t="s">
        <v>609</v>
      </c>
      <c r="C15" s="184" t="s">
        <v>1647</v>
      </c>
      <c r="D15" s="323">
        <v>0.04</v>
      </c>
      <c r="E15" s="168" t="s">
        <v>610</v>
      </c>
      <c r="F15" s="168">
        <v>2500</v>
      </c>
      <c r="G15" s="315" t="s">
        <v>723</v>
      </c>
      <c r="H15" s="168">
        <v>1</v>
      </c>
      <c r="I15" s="322">
        <f>F15*D15</f>
        <v>100</v>
      </c>
      <c r="L15" s="736"/>
      <c r="M15" s="736"/>
      <c r="N15" s="736"/>
    </row>
    <row r="16" spans="1:14" ht="28.8" x14ac:dyDescent="0.3">
      <c r="A16" s="168">
        <v>30</v>
      </c>
      <c r="B16" s="315" t="s">
        <v>785</v>
      </c>
      <c r="C16" s="171"/>
      <c r="D16" s="323">
        <v>0.65</v>
      </c>
      <c r="E16" s="168"/>
      <c r="F16" s="168">
        <v>1</v>
      </c>
      <c r="G16" s="168"/>
      <c r="H16" s="168"/>
      <c r="I16" s="322">
        <f>IF('SU 12001'!$H16&lt;&gt;"",'SU 12001'!$D16*'SU 12001'!$F16*'SU 12001'!$H16,'SU 12001'!$D16*'SU 12001'!$F16)</f>
        <v>0.65</v>
      </c>
      <c r="L16" s="736"/>
      <c r="M16" s="736"/>
    </row>
    <row r="17" spans="1:14" ht="28.8" x14ac:dyDescent="0.3">
      <c r="A17" s="168">
        <v>40</v>
      </c>
      <c r="B17" s="171" t="s">
        <v>609</v>
      </c>
      <c r="C17" s="184" t="s">
        <v>2860</v>
      </c>
      <c r="D17" s="323">
        <v>0.04</v>
      </c>
      <c r="E17" s="168" t="s">
        <v>610</v>
      </c>
      <c r="F17" s="168">
        <v>110</v>
      </c>
      <c r="G17" s="180" t="s">
        <v>723</v>
      </c>
      <c r="H17" s="168">
        <v>1</v>
      </c>
      <c r="I17" s="322">
        <f>IF('SU 12001'!$H17&lt;&gt;"",'SU 12001'!$D17*'SU 12001'!$F17*'SU 12001'!$H17,'SU 12001'!$D17*'SU 12001'!$F17)</f>
        <v>4.4000000000000004</v>
      </c>
      <c r="L17" s="736"/>
      <c r="N17" s="736"/>
    </row>
    <row r="18" spans="1:14" ht="28.8" x14ac:dyDescent="0.3">
      <c r="A18" s="168">
        <v>50</v>
      </c>
      <c r="B18" s="171" t="s">
        <v>1345</v>
      </c>
      <c r="C18" s="184" t="s">
        <v>2887</v>
      </c>
      <c r="D18" s="323">
        <v>0.1</v>
      </c>
      <c r="E18" s="168" t="s">
        <v>593</v>
      </c>
      <c r="F18" s="168">
        <v>7</v>
      </c>
      <c r="G18" s="180" t="s">
        <v>723</v>
      </c>
      <c r="H18" s="168">
        <v>1</v>
      </c>
      <c r="I18" s="322">
        <f>IF('SU 12001'!$H18&lt;&gt;"",'SU 12001'!$D18*'SU 12001'!$F18*'SU 12001'!$H18,'SU 12001'!$D18*'SU 12001'!$F18)</f>
        <v>0.70000000000000007</v>
      </c>
      <c r="L18" s="736"/>
      <c r="N18" s="736"/>
    </row>
    <row r="19" spans="1:14" s="178" customFormat="1" x14ac:dyDescent="0.3">
      <c r="H19" s="840" t="s">
        <v>547</v>
      </c>
      <c r="I19" s="841">
        <f>SUM(I14:I18)</f>
        <v>107.05000000000001</v>
      </c>
    </row>
    <row r="20" spans="1:14" x14ac:dyDescent="0.3">
      <c r="L20" s="736"/>
    </row>
  </sheetData>
  <hyperlinks>
    <hyperlink ref="D2" location="'Rear uprights drawing'!A1" display="FileLink1"/>
  </hyperlinks>
  <pageMargins left="0.7" right="0.7" top="0.75" bottom="0.75" header="0.3" footer="0.3"/>
  <pageSetup paperSize="9" scale="64" orientation="landscape" r:id="rId1"/>
  <drawing r:id="rId2"/>
</worksheet>
</file>

<file path=xl/worksheets/sheet3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20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7.5546875" style="161" customWidth="1"/>
    <col min="3" max="3" width="20.5546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1.1093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N11+I20</f>
        <v>5.8842220799999998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497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6" t="s">
        <v>2864</v>
      </c>
      <c r="D4" s="837" t="s">
        <v>541</v>
      </c>
      <c r="J4" s="837" t="s">
        <v>538</v>
      </c>
      <c r="M4" s="837" t="s">
        <v>539</v>
      </c>
      <c r="N4" s="336">
        <f>N1*N2</f>
        <v>23.536888319999999</v>
      </c>
    </row>
    <row r="5" spans="1:14" x14ac:dyDescent="0.3">
      <c r="A5" s="837" t="s">
        <v>537</v>
      </c>
      <c r="B5" s="166" t="s">
        <v>500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334"/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225" t="s">
        <v>1032</v>
      </c>
      <c r="C10" s="168" t="s">
        <v>2864</v>
      </c>
      <c r="D10" s="323">
        <v>4.2</v>
      </c>
      <c r="E10" s="316">
        <f>J10*K10*L10</f>
        <v>0.2098624</v>
      </c>
      <c r="F10" s="168" t="s">
        <v>856</v>
      </c>
      <c r="G10" s="168"/>
      <c r="H10" s="219"/>
      <c r="I10" s="269" t="s">
        <v>2865</v>
      </c>
      <c r="J10" s="227">
        <f>40*44/1000000</f>
        <v>1.7600000000000001E-3</v>
      </c>
      <c r="K10" s="228">
        <v>4.3999999999999997E-2</v>
      </c>
      <c r="L10" s="219">
        <v>2710</v>
      </c>
      <c r="M10" s="222">
        <v>1</v>
      </c>
      <c r="N10" s="322">
        <f>IF(J10="",D10*M10,D10*J10*K10*L10*M10)</f>
        <v>0.88142208000000011</v>
      </c>
    </row>
    <row r="11" spans="1:14" s="178" customFormat="1" x14ac:dyDescent="0.3">
      <c r="M11" s="842" t="s">
        <v>547</v>
      </c>
      <c r="N11" s="918">
        <f>SUM(N10:N10)</f>
        <v>0.88142208000000011</v>
      </c>
    </row>
    <row r="13" spans="1:14" s="178" customFormat="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</row>
    <row r="14" spans="1:14" ht="28.8" x14ac:dyDescent="0.3">
      <c r="A14" s="168">
        <v>10</v>
      </c>
      <c r="B14" s="348" t="s">
        <v>589</v>
      </c>
      <c r="C14" s="171"/>
      <c r="D14" s="323">
        <v>1.3</v>
      </c>
      <c r="E14" s="168" t="s">
        <v>551</v>
      </c>
      <c r="F14" s="168">
        <v>1</v>
      </c>
      <c r="G14" s="168"/>
      <c r="H14" s="168"/>
      <c r="I14" s="323">
        <f t="shared" ref="I14:I19" si="0">D14*F14</f>
        <v>1.3</v>
      </c>
    </row>
    <row r="15" spans="1:14" ht="28.8" x14ac:dyDescent="0.3">
      <c r="A15" s="168">
        <v>20</v>
      </c>
      <c r="B15" s="180" t="s">
        <v>609</v>
      </c>
      <c r="C15" s="184" t="s">
        <v>1647</v>
      </c>
      <c r="D15" s="323">
        <v>0.04</v>
      </c>
      <c r="E15" s="323" t="s">
        <v>610</v>
      </c>
      <c r="F15" s="168">
        <v>33.9</v>
      </c>
      <c r="G15" s="315" t="s">
        <v>723</v>
      </c>
      <c r="H15" s="168">
        <v>1</v>
      </c>
      <c r="I15" s="323">
        <f t="shared" si="0"/>
        <v>1.3559999999999999</v>
      </c>
    </row>
    <row r="16" spans="1:14" ht="28.8" x14ac:dyDescent="0.3">
      <c r="A16" s="168">
        <v>30</v>
      </c>
      <c r="B16" s="349" t="s">
        <v>785</v>
      </c>
      <c r="C16" s="171"/>
      <c r="D16" s="323">
        <v>0.65</v>
      </c>
      <c r="E16" s="168" t="s">
        <v>551</v>
      </c>
      <c r="F16" s="168">
        <v>1</v>
      </c>
      <c r="G16" s="168"/>
      <c r="H16" s="168"/>
      <c r="I16" s="323">
        <f t="shared" si="0"/>
        <v>0.65</v>
      </c>
    </row>
    <row r="17" spans="1:13" ht="28.8" x14ac:dyDescent="0.3">
      <c r="A17" s="168">
        <v>40</v>
      </c>
      <c r="B17" s="180" t="s">
        <v>609</v>
      </c>
      <c r="C17" s="161" t="s">
        <v>2866</v>
      </c>
      <c r="D17" s="323">
        <v>0.04</v>
      </c>
      <c r="E17" s="323" t="s">
        <v>610</v>
      </c>
      <c r="F17" s="168">
        <v>3.87</v>
      </c>
      <c r="G17" s="180" t="s">
        <v>723</v>
      </c>
      <c r="H17" s="168">
        <v>1</v>
      </c>
      <c r="I17" s="323">
        <f t="shared" si="0"/>
        <v>0.15480000000000002</v>
      </c>
    </row>
    <row r="18" spans="1:13" ht="28.8" x14ac:dyDescent="0.3">
      <c r="A18" s="168">
        <v>50</v>
      </c>
      <c r="B18" s="349" t="s">
        <v>785</v>
      </c>
      <c r="C18" s="171"/>
      <c r="D18" s="323">
        <v>0.65</v>
      </c>
      <c r="E18" s="168" t="s">
        <v>551</v>
      </c>
      <c r="F18" s="168">
        <v>1</v>
      </c>
      <c r="G18" s="168"/>
      <c r="H18" s="168"/>
      <c r="I18" s="323">
        <f t="shared" si="0"/>
        <v>0.65</v>
      </c>
    </row>
    <row r="19" spans="1:13" ht="28.8" x14ac:dyDescent="0.3">
      <c r="A19" s="168">
        <v>60</v>
      </c>
      <c r="B19" s="180" t="s">
        <v>609</v>
      </c>
      <c r="C19" s="193" t="s">
        <v>2867</v>
      </c>
      <c r="D19" s="323">
        <v>0.04</v>
      </c>
      <c r="E19" s="323" t="s">
        <v>610</v>
      </c>
      <c r="F19" s="168">
        <v>22.3</v>
      </c>
      <c r="G19" s="180" t="s">
        <v>723</v>
      </c>
      <c r="H19" s="168">
        <v>1</v>
      </c>
      <c r="I19" s="323">
        <f t="shared" si="0"/>
        <v>0.89200000000000002</v>
      </c>
      <c r="L19" s="736"/>
    </row>
    <row r="20" spans="1:13" s="178" customFormat="1" x14ac:dyDescent="0.3">
      <c r="H20" s="842" t="s">
        <v>547</v>
      </c>
      <c r="I20" s="918">
        <f>SUM(I14:I19)</f>
        <v>5.0027999999999997</v>
      </c>
      <c r="M20" s="938"/>
    </row>
  </sheetData>
  <pageMargins left="0.7" right="0.7" top="0.75" bottom="0.75" header="0.3" footer="0.3"/>
  <pageSetup paperSize="9" scale="66" orientation="landscape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1.5546875" style="161" customWidth="1"/>
    <col min="2" max="2" width="28.88671875" style="161" customWidth="1"/>
    <col min="3" max="3" width="16.88671875" style="161" customWidth="1"/>
    <col min="4" max="4" width="13.5546875" style="161" bestFit="1" customWidth="1"/>
    <col min="5" max="5" width="8" style="161" customWidth="1"/>
    <col min="6" max="6" width="12" style="161" bestFit="1" customWidth="1"/>
    <col min="7" max="7" width="20.109375" style="161" customWidth="1"/>
    <col min="8" max="8" width="13.6640625" style="161" customWidth="1"/>
    <col min="9" max="9" width="16.5546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88671875" style="161" customWidth="1"/>
    <col min="14" max="14" width="12.10937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3.2719504000000001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68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772</v>
      </c>
      <c r="D4" s="342" t="s">
        <v>541</v>
      </c>
      <c r="J4" s="342" t="s">
        <v>538</v>
      </c>
      <c r="M4" s="342" t="s">
        <v>539</v>
      </c>
      <c r="N4" s="336">
        <f>N1*N2</f>
        <v>6.5439008000000003</v>
      </c>
    </row>
    <row r="5" spans="1:14" x14ac:dyDescent="0.3">
      <c r="A5" s="342" t="s">
        <v>537</v>
      </c>
      <c r="B5" s="166" t="s">
        <v>79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95" customHeight="1" x14ac:dyDescent="0.3">
      <c r="A10" s="168">
        <v>10</v>
      </c>
      <c r="B10" s="190" t="s">
        <v>720</v>
      </c>
      <c r="C10" s="168" t="s">
        <v>801</v>
      </c>
      <c r="D10" s="323">
        <v>4.2</v>
      </c>
      <c r="E10" s="168">
        <v>60</v>
      </c>
      <c r="F10" s="168" t="s">
        <v>573</v>
      </c>
      <c r="G10" s="168">
        <v>2</v>
      </c>
      <c r="H10" s="219" t="s">
        <v>573</v>
      </c>
      <c r="I10" s="269" t="s">
        <v>800</v>
      </c>
      <c r="J10" s="340">
        <f>60*2/1000000</f>
        <v>1.2E-4</v>
      </c>
      <c r="K10" s="332">
        <v>0.06</v>
      </c>
      <c r="L10" s="221">
        <v>2710</v>
      </c>
      <c r="M10" s="339">
        <v>1</v>
      </c>
      <c r="N10" s="322">
        <f>IF(J10="",D10*M10,D10*J10*K10*L10*M10)</f>
        <v>8.1950399999999993E-2</v>
      </c>
    </row>
    <row r="11" spans="1:14" s="178" customFormat="1" x14ac:dyDescent="0.3">
      <c r="M11" s="338" t="s">
        <v>547</v>
      </c>
      <c r="N11" s="337">
        <f>SUM(N10:N10)</f>
        <v>8.1950399999999993E-2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30.6" customHeight="1" x14ac:dyDescent="0.3">
      <c r="A14" s="168">
        <v>10</v>
      </c>
      <c r="B14" s="315" t="s">
        <v>589</v>
      </c>
      <c r="C14" s="171"/>
      <c r="D14" s="323">
        <v>1.3</v>
      </c>
      <c r="E14" s="168" t="s">
        <v>556</v>
      </c>
      <c r="F14" s="168">
        <v>1</v>
      </c>
      <c r="G14" s="180" t="s">
        <v>2450</v>
      </c>
      <c r="H14" s="180">
        <v>0.5</v>
      </c>
      <c r="I14" s="323">
        <f>IF('EN 01009'!$H14&lt;&gt;"",'EN 01009'!$D14*'EN 01009'!$F14*'EN 01009'!$H14,'EN 01009'!$D14*'EN 01009'!$F14)</f>
        <v>0.65</v>
      </c>
    </row>
    <row r="15" spans="1:14" x14ac:dyDescent="0.3">
      <c r="A15" s="168">
        <v>20</v>
      </c>
      <c r="B15" s="180" t="s">
        <v>591</v>
      </c>
      <c r="C15" s="171"/>
      <c r="D15" s="323">
        <v>0.01</v>
      </c>
      <c r="E15" s="168" t="s">
        <v>593</v>
      </c>
      <c r="F15" s="168">
        <v>254</v>
      </c>
      <c r="G15" s="180" t="s">
        <v>723</v>
      </c>
      <c r="H15" s="180">
        <v>1</v>
      </c>
      <c r="I15" s="323">
        <f>IF('EN 01008'!$H15&lt;&gt;"",'EN 01009'!$D15*'EN 01009'!$F15*'EN 01008'!$H15,'EN 01009'!$D15*'EN 01009'!$F15)</f>
        <v>2.54</v>
      </c>
    </row>
    <row r="16" spans="1:14" s="178" customFormat="1" x14ac:dyDescent="0.3">
      <c r="H16" s="344" t="s">
        <v>547</v>
      </c>
      <c r="I16" s="337">
        <f>SUM(I14:I15)</f>
        <v>3.19</v>
      </c>
    </row>
  </sheetData>
  <pageMargins left="0.70866141732283472" right="0.70866141732283472" top="0.74803149606299213" bottom="0.74803149606299213" header="0.31496062992125984" footer="0.31496062992125984"/>
  <pageSetup paperSize="9" scale="63" orientation="landscape" r:id="rId1"/>
  <drawing r:id="rId2"/>
</worksheet>
</file>

<file path=xl/worksheets/sheet3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7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1.1093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0.87216771999999998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497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2835</v>
      </c>
      <c r="D4" s="837" t="s">
        <v>541</v>
      </c>
      <c r="J4" s="837" t="s">
        <v>538</v>
      </c>
      <c r="M4" s="837" t="s">
        <v>539</v>
      </c>
      <c r="N4" s="336">
        <f>N1*N2</f>
        <v>3.4886708799999999</v>
      </c>
    </row>
    <row r="5" spans="1:14" x14ac:dyDescent="0.3">
      <c r="A5" s="837" t="s">
        <v>537</v>
      </c>
      <c r="B5" s="166" t="s">
        <v>501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  <c r="B7" s="334"/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225" t="s">
        <v>1032</v>
      </c>
      <c r="C10" s="184" t="s">
        <v>2835</v>
      </c>
      <c r="D10" s="323">
        <v>4.2</v>
      </c>
      <c r="E10" s="316">
        <f>J10*K10*L10</f>
        <v>7.1706599999999995E-2</v>
      </c>
      <c r="F10" s="168" t="s">
        <v>856</v>
      </c>
      <c r="G10" s="168"/>
      <c r="H10" s="219"/>
      <c r="I10" s="269" t="s">
        <v>2868</v>
      </c>
      <c r="J10" s="227">
        <f>42*42/1000000</f>
        <v>1.7639999999999999E-3</v>
      </c>
      <c r="K10" s="228">
        <v>1.4999999999999999E-2</v>
      </c>
      <c r="L10" s="219">
        <v>2710</v>
      </c>
      <c r="M10" s="222">
        <v>1</v>
      </c>
      <c r="N10" s="322">
        <f>IF(J10="",D10*M10,D10*J10*K10*L10*M10)</f>
        <v>0.30116771999999997</v>
      </c>
    </row>
    <row r="11" spans="1:14" s="178" customFormat="1" x14ac:dyDescent="0.3">
      <c r="M11" s="842" t="s">
        <v>547</v>
      </c>
      <c r="N11" s="918">
        <f>SUM(N10:N10)</f>
        <v>0.30116771999999997</v>
      </c>
    </row>
    <row r="13" spans="1:14" s="178" customFormat="1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</row>
    <row r="14" spans="1:14" ht="28.8" x14ac:dyDescent="0.3">
      <c r="A14" s="168">
        <v>10</v>
      </c>
      <c r="B14" s="349" t="s">
        <v>589</v>
      </c>
      <c r="C14" s="171"/>
      <c r="D14" s="323">
        <v>1.3</v>
      </c>
      <c r="E14" s="168" t="s">
        <v>551</v>
      </c>
      <c r="F14" s="168">
        <v>1</v>
      </c>
      <c r="G14" s="184" t="s">
        <v>2888</v>
      </c>
      <c r="H14" s="168">
        <v>0.25</v>
      </c>
      <c r="I14" s="323">
        <f>D14*F14*H14</f>
        <v>0.32500000000000001</v>
      </c>
    </row>
    <row r="15" spans="1:14" s="178" customFormat="1" ht="28.8" x14ac:dyDescent="0.3">
      <c r="A15" s="942">
        <v>20</v>
      </c>
      <c r="B15" s="180" t="s">
        <v>591</v>
      </c>
      <c r="C15" s="184" t="s">
        <v>2835</v>
      </c>
      <c r="D15" s="323">
        <v>0.01</v>
      </c>
      <c r="E15" s="168" t="s">
        <v>593</v>
      </c>
      <c r="F15" s="168">
        <v>24.6</v>
      </c>
      <c r="G15" s="180" t="s">
        <v>723</v>
      </c>
      <c r="H15" s="168">
        <v>1</v>
      </c>
      <c r="I15" s="323">
        <f>H15*F15*D15</f>
        <v>0.24600000000000002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842" t="s">
        <v>547</v>
      </c>
      <c r="I16" s="918">
        <f>I14+I15</f>
        <v>0.57100000000000006</v>
      </c>
    </row>
  </sheetData>
  <pageMargins left="0.7" right="0.7" top="0.75" bottom="0.75" header="0.3" footer="0.3"/>
  <pageSetup paperSize="9" scale="64" orientation="landscape" r:id="rId1"/>
</worksheet>
</file>

<file path=xl/worksheets/sheet3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4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7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0.441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N11+I17</f>
        <v>1.9277572800000002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497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2874</v>
      </c>
      <c r="D4" s="837" t="s">
        <v>541</v>
      </c>
      <c r="J4" s="837" t="s">
        <v>538</v>
      </c>
      <c r="M4" s="837" t="s">
        <v>539</v>
      </c>
      <c r="N4" s="336">
        <f>N1*N2</f>
        <v>3.8555145600000005</v>
      </c>
    </row>
    <row r="5" spans="1:14" x14ac:dyDescent="0.3">
      <c r="A5" s="837" t="s">
        <v>537</v>
      </c>
      <c r="B5" s="166" t="s">
        <v>502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1275</v>
      </c>
      <c r="C10" s="168"/>
      <c r="D10" s="323">
        <v>2.25</v>
      </c>
      <c r="E10" s="220">
        <v>7.1999999999999995E-2</v>
      </c>
      <c r="F10" s="168" t="s">
        <v>644</v>
      </c>
      <c r="G10" s="168">
        <v>6.8000000000000005E-2</v>
      </c>
      <c r="H10" s="219" t="s">
        <v>644</v>
      </c>
      <c r="I10" s="269" t="s">
        <v>2889</v>
      </c>
      <c r="J10" s="227">
        <f>E10*G10</f>
        <v>4.8960000000000002E-3</v>
      </c>
      <c r="K10" s="228">
        <v>3.0000000000000001E-3</v>
      </c>
      <c r="L10" s="219">
        <v>7860</v>
      </c>
      <c r="M10" s="222">
        <v>1</v>
      </c>
      <c r="N10" s="322">
        <f>IF(J10="",D10*M10,D10*J10*K10*L10*M10)</f>
        <v>0.25975727999999998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SUM(N10:N10)</f>
        <v>0.25975727999999998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2890</v>
      </c>
      <c r="H14" s="168">
        <v>0.5</v>
      </c>
      <c r="I14" s="323">
        <f>F14*D14*H14</f>
        <v>0.65</v>
      </c>
    </row>
    <row r="15" spans="1:14" x14ac:dyDescent="0.3">
      <c r="A15" s="168">
        <v>20</v>
      </c>
      <c r="B15" s="180" t="s">
        <v>700</v>
      </c>
      <c r="C15" s="171"/>
      <c r="D15" s="323">
        <v>0.01</v>
      </c>
      <c r="E15" s="168" t="s">
        <v>593</v>
      </c>
      <c r="F15" s="168">
        <v>25.6</v>
      </c>
      <c r="G15" s="168" t="s">
        <v>1779</v>
      </c>
      <c r="H15" s="168">
        <v>3</v>
      </c>
      <c r="I15" s="323">
        <f>F15*D15*H15</f>
        <v>0.76800000000000002</v>
      </c>
    </row>
    <row r="16" spans="1:14" x14ac:dyDescent="0.3">
      <c r="A16" s="168">
        <v>30</v>
      </c>
      <c r="B16" s="180" t="s">
        <v>2891</v>
      </c>
      <c r="C16" s="171"/>
      <c r="D16" s="323">
        <v>0.25</v>
      </c>
      <c r="E16" s="168" t="s">
        <v>556</v>
      </c>
      <c r="F16" s="168">
        <v>1</v>
      </c>
      <c r="G16" s="180"/>
      <c r="H16" s="168"/>
      <c r="I16" s="323">
        <f>F16*D16</f>
        <v>0.25</v>
      </c>
    </row>
    <row r="17" spans="1:14" s="178" customFormat="1" x14ac:dyDescent="0.3">
      <c r="H17" s="840" t="s">
        <v>547</v>
      </c>
      <c r="I17" s="841">
        <f>SUM(I14:I16)</f>
        <v>1.6680000000000001</v>
      </c>
      <c r="J17" s="161"/>
      <c r="K17" s="161"/>
      <c r="L17" s="161"/>
      <c r="M17" s="161"/>
      <c r="N17" s="161"/>
    </row>
    <row r="19" spans="1:14" s="178" customFormat="1" x14ac:dyDescent="0.3">
      <c r="A19" s="161"/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  <c r="N19" s="161"/>
    </row>
    <row r="20" spans="1:14" x14ac:dyDescent="0.3">
      <c r="J20" s="178"/>
    </row>
    <row r="21" spans="1:14" x14ac:dyDescent="0.3">
      <c r="K21" s="178"/>
      <c r="L21" s="178"/>
      <c r="M21" s="178"/>
      <c r="N21" s="178"/>
    </row>
    <row r="23" spans="1:14" x14ac:dyDescent="0.3">
      <c r="K23" s="178"/>
      <c r="L23" s="178"/>
      <c r="M23" s="178"/>
      <c r="N23" s="178"/>
    </row>
    <row r="28" spans="1:14" s="178" customFormat="1" x14ac:dyDescent="0.3">
      <c r="A28" s="161"/>
      <c r="B28" s="161"/>
      <c r="C28" s="161"/>
      <c r="D28" s="161"/>
      <c r="E28" s="161"/>
      <c r="F28" s="161"/>
      <c r="G28" s="161"/>
      <c r="H28" s="161"/>
      <c r="I28" s="161"/>
      <c r="J28" s="161"/>
      <c r="K28" s="161"/>
      <c r="L28" s="161"/>
      <c r="M28" s="161"/>
      <c r="N28" s="161"/>
    </row>
    <row r="30" spans="1:14" s="178" customFormat="1" x14ac:dyDescent="0.3">
      <c r="A30" s="161"/>
      <c r="B30" s="161"/>
      <c r="C30" s="161"/>
      <c r="D30" s="161"/>
      <c r="E30" s="161"/>
      <c r="F30" s="161"/>
      <c r="G30" s="161"/>
      <c r="H30" s="161"/>
      <c r="I30" s="161"/>
      <c r="J30" s="161"/>
      <c r="K30" s="161"/>
      <c r="L30" s="161"/>
      <c r="M30" s="161"/>
      <c r="N30" s="161"/>
    </row>
    <row r="32" spans="1:14" x14ac:dyDescent="0.3">
      <c r="K32" s="178"/>
      <c r="L32" s="178"/>
      <c r="M32" s="178"/>
      <c r="N32" s="178"/>
    </row>
    <row r="34" spans="1:14" x14ac:dyDescent="0.3">
      <c r="K34" s="178"/>
      <c r="L34" s="178"/>
      <c r="M34" s="178"/>
      <c r="N34" s="178"/>
    </row>
    <row r="37" spans="1:14" x14ac:dyDescent="0.3">
      <c r="K37" s="178"/>
      <c r="L37" s="178"/>
      <c r="M37" s="178"/>
      <c r="N37" s="178"/>
    </row>
    <row r="39" spans="1:14" s="178" customFormat="1" x14ac:dyDescent="0.3">
      <c r="A39" s="161"/>
      <c r="B39" s="161"/>
      <c r="C39" s="161"/>
      <c r="D39" s="161"/>
      <c r="E39" s="161"/>
      <c r="F39" s="161"/>
      <c r="G39" s="161"/>
      <c r="H39" s="161"/>
      <c r="I39" s="161"/>
      <c r="J39" s="161"/>
      <c r="K39" s="161"/>
      <c r="L39" s="161"/>
      <c r="M39" s="161"/>
      <c r="N39" s="161"/>
    </row>
    <row r="41" spans="1:14" s="178" customFormat="1" x14ac:dyDescent="0.3">
      <c r="A41" s="161"/>
      <c r="B41" s="161"/>
      <c r="C41" s="161"/>
      <c r="D41" s="161"/>
      <c r="E41" s="161"/>
      <c r="F41" s="161"/>
      <c r="G41" s="161"/>
      <c r="H41" s="161"/>
      <c r="I41" s="161"/>
      <c r="J41" s="161"/>
      <c r="K41" s="161"/>
      <c r="L41" s="161"/>
      <c r="M41" s="161"/>
      <c r="N41" s="161"/>
    </row>
    <row r="44" spans="1:14" s="178" customFormat="1" x14ac:dyDescent="0.3">
      <c r="A44" s="161"/>
      <c r="B44" s="161"/>
      <c r="C44" s="161"/>
      <c r="D44" s="161"/>
      <c r="E44" s="161"/>
      <c r="F44" s="161"/>
      <c r="G44" s="161"/>
      <c r="H44" s="161"/>
      <c r="I44" s="161"/>
      <c r="J44" s="161"/>
      <c r="K44" s="161"/>
      <c r="L44" s="161"/>
      <c r="M44" s="161"/>
      <c r="N44" s="161"/>
    </row>
  </sheetData>
  <pageMargins left="0.7" right="0.7" top="0.75" bottom="0.75" header="0.3" footer="0.3"/>
  <pageSetup paperSize="9" scale="64" orientation="landscape" r:id="rId1"/>
</worksheet>
</file>

<file path=xl/worksheets/sheet3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7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0.55468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1.5264155000000001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2</v>
      </c>
    </row>
    <row r="3" spans="1:14" x14ac:dyDescent="0.3">
      <c r="A3" s="837" t="s">
        <v>534</v>
      </c>
      <c r="B3" s="161" t="s">
        <v>497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2871</v>
      </c>
      <c r="D4" s="837" t="s">
        <v>541</v>
      </c>
      <c r="J4" s="837" t="s">
        <v>538</v>
      </c>
      <c r="M4" s="837" t="s">
        <v>539</v>
      </c>
      <c r="N4" s="336">
        <f>N1*N2</f>
        <v>3.0528310000000003</v>
      </c>
    </row>
    <row r="5" spans="1:14" x14ac:dyDescent="0.3">
      <c r="A5" s="837" t="s">
        <v>537</v>
      </c>
      <c r="B5" s="166" t="s">
        <v>503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1275</v>
      </c>
      <c r="C10" s="168"/>
      <c r="D10" s="323">
        <v>2.25</v>
      </c>
      <c r="E10" s="220">
        <v>4.2000000000000003E-2</v>
      </c>
      <c r="F10" s="168" t="s">
        <v>644</v>
      </c>
      <c r="G10" s="168">
        <v>0.05</v>
      </c>
      <c r="H10" s="219" t="s">
        <v>644</v>
      </c>
      <c r="I10" s="269" t="s">
        <v>2872</v>
      </c>
      <c r="J10" s="227">
        <f>E10*G10</f>
        <v>2.1000000000000003E-3</v>
      </c>
      <c r="K10" s="228">
        <v>3.0000000000000001E-3</v>
      </c>
      <c r="L10" s="219">
        <v>7860</v>
      </c>
      <c r="M10" s="222">
        <v>1</v>
      </c>
      <c r="N10" s="322">
        <f>IF(J10="",D10*M10,D10*J10*K10*L10*M10)</f>
        <v>0.11141550000000001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SUM(N10:N10)</f>
        <v>0.11141550000000001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2890</v>
      </c>
      <c r="H14" s="168">
        <v>0.5</v>
      </c>
      <c r="I14" s="323">
        <f>F14*D14*H14</f>
        <v>0.65</v>
      </c>
    </row>
    <row r="15" spans="1:14" x14ac:dyDescent="0.3">
      <c r="A15" s="168">
        <v>20</v>
      </c>
      <c r="B15" s="180" t="s">
        <v>700</v>
      </c>
      <c r="C15" s="171"/>
      <c r="D15" s="323">
        <v>0.01</v>
      </c>
      <c r="E15" s="168" t="s">
        <v>593</v>
      </c>
      <c r="F15" s="168">
        <v>25.5</v>
      </c>
      <c r="G15" s="180" t="s">
        <v>598</v>
      </c>
      <c r="H15" s="168">
        <v>3</v>
      </c>
      <c r="I15" s="323">
        <f>F15*D15*H15</f>
        <v>0.76500000000000001</v>
      </c>
    </row>
    <row r="16" spans="1:14" s="178" customFormat="1" x14ac:dyDescent="0.3">
      <c r="H16" s="840" t="s">
        <v>547</v>
      </c>
      <c r="I16" s="841">
        <f>SUM(I14:I15)</f>
        <v>1.415</v>
      </c>
      <c r="J16" s="161"/>
      <c r="K16" s="161"/>
      <c r="L16" s="161"/>
      <c r="M16" s="161"/>
      <c r="N16" s="161"/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19" spans="1:14" x14ac:dyDescent="0.3">
      <c r="J19" s="178"/>
    </row>
    <row r="20" spans="1:14" x14ac:dyDescent="0.3">
      <c r="K20" s="178"/>
      <c r="L20" s="178"/>
      <c r="M20" s="178"/>
      <c r="N20" s="178"/>
    </row>
    <row r="22" spans="1:14" x14ac:dyDescent="0.3">
      <c r="K22" s="178"/>
      <c r="L22" s="178"/>
      <c r="M22" s="178"/>
      <c r="N22" s="178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x14ac:dyDescent="0.3">
      <c r="K31" s="178"/>
      <c r="L31" s="178"/>
      <c r="M31" s="178"/>
      <c r="N31" s="178"/>
    </row>
    <row r="33" spans="1:14" x14ac:dyDescent="0.3">
      <c r="K33" s="178"/>
      <c r="L33" s="178"/>
      <c r="M33" s="178"/>
      <c r="N33" s="178"/>
    </row>
    <row r="36" spans="1:14" x14ac:dyDescent="0.3">
      <c r="K36" s="178"/>
      <c r="L36" s="178"/>
      <c r="M36" s="178"/>
      <c r="N36" s="178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</sheetData>
  <pageMargins left="0.7" right="0.7" top="0.75" bottom="0.75" header="0.3" footer="0.3"/>
  <pageSetup paperSize="9" scale="63" orientation="landscape" r:id="rId1"/>
</worksheet>
</file>

<file path=xl/worksheets/sheet3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7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1.777343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0.35948183107117943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4</v>
      </c>
    </row>
    <row r="3" spans="1:14" x14ac:dyDescent="0.3">
      <c r="A3" s="837" t="s">
        <v>534</v>
      </c>
      <c r="B3" s="161" t="s">
        <v>497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493</v>
      </c>
      <c r="D4" s="837" t="s">
        <v>541</v>
      </c>
      <c r="J4" s="837" t="s">
        <v>538</v>
      </c>
      <c r="M4" s="837" t="s">
        <v>539</v>
      </c>
      <c r="N4" s="336">
        <f>N1*N2</f>
        <v>1.4379273242847177</v>
      </c>
    </row>
    <row r="5" spans="1:14" x14ac:dyDescent="0.3">
      <c r="A5" s="837" t="s">
        <v>537</v>
      </c>
      <c r="B5" s="166" t="s">
        <v>2892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720</v>
      </c>
      <c r="C10" s="168"/>
      <c r="D10" s="323">
        <v>4.2</v>
      </c>
      <c r="E10" s="220">
        <f>J10*K10*L10</f>
        <v>3.4480550169474771E-3</v>
      </c>
      <c r="F10" s="168" t="s">
        <v>856</v>
      </c>
      <c r="G10" s="168"/>
      <c r="H10" s="219"/>
      <c r="I10" s="269" t="s">
        <v>2870</v>
      </c>
      <c r="J10" s="227">
        <f>(PI()*0.018*0.018)/4</f>
        <v>2.5446900494077322E-4</v>
      </c>
      <c r="K10" s="228">
        <v>5.0000000000000001E-3</v>
      </c>
      <c r="L10" s="219">
        <v>2710</v>
      </c>
      <c r="M10" s="222">
        <v>1</v>
      </c>
      <c r="N10" s="322">
        <f>IF(J10="",D10*M10,D10*J10*K10*L10*M10)</f>
        <v>1.4481831071179405E-2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SUM(N10:N10)</f>
        <v>1.4481831071179405E-2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2893</v>
      </c>
      <c r="H14" s="168">
        <v>0.25</v>
      </c>
      <c r="I14" s="323">
        <f>F14*D14*H14</f>
        <v>0.32500000000000001</v>
      </c>
    </row>
    <row r="15" spans="1:14" x14ac:dyDescent="0.3">
      <c r="A15" s="168">
        <v>20</v>
      </c>
      <c r="B15" s="180" t="s">
        <v>609</v>
      </c>
      <c r="C15" s="171"/>
      <c r="D15" s="323">
        <v>0.04</v>
      </c>
      <c r="E15" s="168" t="s">
        <v>610</v>
      </c>
      <c r="F15" s="168">
        <v>0.5</v>
      </c>
      <c r="G15" s="180" t="s">
        <v>723</v>
      </c>
      <c r="H15" s="168">
        <v>1</v>
      </c>
      <c r="I15" s="323">
        <f>F15*D15</f>
        <v>0.02</v>
      </c>
    </row>
    <row r="16" spans="1:14" s="178" customFormat="1" x14ac:dyDescent="0.3">
      <c r="H16" s="840" t="s">
        <v>547</v>
      </c>
      <c r="I16" s="841">
        <f>SUM(I14:I15)</f>
        <v>0.34500000000000003</v>
      </c>
      <c r="J16" s="161"/>
      <c r="K16" s="161"/>
      <c r="L16" s="161"/>
      <c r="M16" s="161"/>
      <c r="N16" s="161"/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19" spans="1:14" x14ac:dyDescent="0.3">
      <c r="J19" s="178"/>
    </row>
    <row r="20" spans="1:14" x14ac:dyDescent="0.3">
      <c r="K20" s="178"/>
      <c r="L20" s="178"/>
      <c r="M20" s="178"/>
      <c r="N20" s="178"/>
    </row>
    <row r="22" spans="1:14" x14ac:dyDescent="0.3">
      <c r="K22" s="178"/>
      <c r="L22" s="178"/>
      <c r="M22" s="178"/>
      <c r="N22" s="178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x14ac:dyDescent="0.3">
      <c r="K31" s="178"/>
      <c r="L31" s="178"/>
      <c r="M31" s="178"/>
      <c r="N31" s="178"/>
    </row>
    <row r="33" spans="1:14" x14ac:dyDescent="0.3">
      <c r="K33" s="178"/>
      <c r="L33" s="178"/>
      <c r="M33" s="178"/>
      <c r="N33" s="178"/>
    </row>
    <row r="36" spans="1:14" x14ac:dyDescent="0.3">
      <c r="K36" s="178"/>
      <c r="L36" s="178"/>
      <c r="M36" s="178"/>
      <c r="N36" s="178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</sheetData>
  <pageMargins left="0.7" right="0.7" top="0.75" bottom="0.75" header="0.3" footer="0.3"/>
  <pageSetup paperSize="9" scale="63" orientation="landscape" r:id="rId1"/>
</worksheet>
</file>

<file path=xl/worksheets/sheet3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N4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7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2.1093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6.10937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837" t="s">
        <v>523</v>
      </c>
      <c r="B1" s="161" t="s">
        <v>524</v>
      </c>
      <c r="J1" s="838" t="s">
        <v>528</v>
      </c>
      <c r="K1" s="163">
        <v>81</v>
      </c>
      <c r="M1" s="837" t="s">
        <v>546</v>
      </c>
      <c r="N1" s="336">
        <f>N11+I16</f>
        <v>0.2343600283565947</v>
      </c>
    </row>
    <row r="2" spans="1:14" x14ac:dyDescent="0.3">
      <c r="A2" s="837" t="s">
        <v>532</v>
      </c>
      <c r="B2" s="161" t="s">
        <v>411</v>
      </c>
      <c r="D2" s="837" t="s">
        <v>536</v>
      </c>
      <c r="M2" s="837" t="s">
        <v>533</v>
      </c>
      <c r="N2" s="165">
        <v>8</v>
      </c>
    </row>
    <row r="3" spans="1:14" x14ac:dyDescent="0.3">
      <c r="A3" s="837" t="s">
        <v>534</v>
      </c>
      <c r="B3" s="161" t="s">
        <v>497</v>
      </c>
      <c r="D3" s="837" t="s">
        <v>538</v>
      </c>
      <c r="J3" s="837" t="s">
        <v>536</v>
      </c>
    </row>
    <row r="4" spans="1:14" x14ac:dyDescent="0.3">
      <c r="A4" s="837" t="s">
        <v>545</v>
      </c>
      <c r="B4" s="161" t="s">
        <v>495</v>
      </c>
      <c r="D4" s="837" t="s">
        <v>541</v>
      </c>
      <c r="J4" s="837" t="s">
        <v>538</v>
      </c>
      <c r="M4" s="837" t="s">
        <v>539</v>
      </c>
      <c r="N4" s="336">
        <f>N1*N2</f>
        <v>1.8748802268527576</v>
      </c>
    </row>
    <row r="5" spans="1:14" x14ac:dyDescent="0.3">
      <c r="A5" s="837" t="s">
        <v>537</v>
      </c>
      <c r="B5" s="166" t="s">
        <v>2894</v>
      </c>
      <c r="J5" s="837" t="s">
        <v>541</v>
      </c>
    </row>
    <row r="6" spans="1:14" x14ac:dyDescent="0.3">
      <c r="A6" s="837" t="s">
        <v>540</v>
      </c>
      <c r="B6" s="161" t="s">
        <v>36</v>
      </c>
    </row>
    <row r="7" spans="1:14" x14ac:dyDescent="0.3">
      <c r="A7" s="837" t="s">
        <v>542</v>
      </c>
    </row>
    <row r="9" spans="1:14" s="178" customFormat="1" x14ac:dyDescent="0.3">
      <c r="A9" s="839" t="s">
        <v>544</v>
      </c>
      <c r="B9" s="839" t="s">
        <v>581</v>
      </c>
      <c r="C9" s="839" t="s">
        <v>549</v>
      </c>
      <c r="D9" s="839" t="s">
        <v>550</v>
      </c>
      <c r="E9" s="839" t="s">
        <v>567</v>
      </c>
      <c r="F9" s="839" t="s">
        <v>568</v>
      </c>
      <c r="G9" s="839" t="s">
        <v>569</v>
      </c>
      <c r="H9" s="839" t="s">
        <v>570</v>
      </c>
      <c r="I9" s="839" t="s">
        <v>582</v>
      </c>
      <c r="J9" s="839" t="s">
        <v>583</v>
      </c>
      <c r="K9" s="839" t="s">
        <v>584</v>
      </c>
      <c r="L9" s="839" t="s">
        <v>585</v>
      </c>
      <c r="M9" s="839" t="s">
        <v>28</v>
      </c>
      <c r="N9" s="839" t="s">
        <v>547</v>
      </c>
    </row>
    <row r="10" spans="1:14" ht="28.8" x14ac:dyDescent="0.3">
      <c r="A10" s="168">
        <v>10</v>
      </c>
      <c r="B10" s="190" t="s">
        <v>720</v>
      </c>
      <c r="C10" s="168"/>
      <c r="D10" s="323">
        <v>4.2</v>
      </c>
      <c r="E10" s="220">
        <f>J10*K10*L10</f>
        <v>7.5857210372844491E-3</v>
      </c>
      <c r="F10" s="168" t="s">
        <v>856</v>
      </c>
      <c r="G10" s="168"/>
      <c r="H10" s="219"/>
      <c r="I10" s="269" t="s">
        <v>2870</v>
      </c>
      <c r="J10" s="227">
        <f>(PI()*0.018*0.018)/4</f>
        <v>2.5446900494077322E-4</v>
      </c>
      <c r="K10" s="228">
        <v>1.0999999999999999E-2</v>
      </c>
      <c r="L10" s="219">
        <v>2710</v>
      </c>
      <c r="M10" s="222">
        <v>1</v>
      </c>
      <c r="N10" s="322">
        <f>IF(J10="",D10*M10,D10*J10*K10*L10*M10)</f>
        <v>3.186002835659469E-2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842" t="s">
        <v>547</v>
      </c>
      <c r="N11" s="918">
        <f>SUM(N10:N10)</f>
        <v>3.186002835659469E-2</v>
      </c>
    </row>
    <row r="13" spans="1:14" x14ac:dyDescent="0.3">
      <c r="A13" s="839" t="s">
        <v>544</v>
      </c>
      <c r="B13" s="839" t="s">
        <v>548</v>
      </c>
      <c r="C13" s="839" t="s">
        <v>549</v>
      </c>
      <c r="D13" s="839" t="s">
        <v>550</v>
      </c>
      <c r="E13" s="839" t="s">
        <v>551</v>
      </c>
      <c r="F13" s="839" t="s">
        <v>28</v>
      </c>
      <c r="G13" s="839" t="s">
        <v>552</v>
      </c>
      <c r="H13" s="839" t="s">
        <v>553</v>
      </c>
      <c r="I13" s="839" t="s">
        <v>547</v>
      </c>
      <c r="J13" s="178"/>
      <c r="K13" s="178"/>
      <c r="L13" s="178"/>
      <c r="M13" s="178"/>
      <c r="N13" s="178"/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/>
      <c r="F14" s="168">
        <v>1</v>
      </c>
      <c r="G14" s="184" t="s">
        <v>2937</v>
      </c>
      <c r="H14" s="168">
        <f>1/8</f>
        <v>0.125</v>
      </c>
      <c r="I14" s="323">
        <f>F14*D14*H14</f>
        <v>0.16250000000000001</v>
      </c>
    </row>
    <row r="15" spans="1:14" x14ac:dyDescent="0.3">
      <c r="A15" s="168">
        <v>20</v>
      </c>
      <c r="B15" s="180" t="s">
        <v>609</v>
      </c>
      <c r="C15" s="171"/>
      <c r="D15" s="323">
        <v>0.04</v>
      </c>
      <c r="E15" s="168" t="s">
        <v>610</v>
      </c>
      <c r="F15" s="168">
        <v>1</v>
      </c>
      <c r="G15" s="180" t="s">
        <v>723</v>
      </c>
      <c r="H15" s="168">
        <v>1</v>
      </c>
      <c r="I15" s="323">
        <f>F15*D15</f>
        <v>0.04</v>
      </c>
    </row>
    <row r="16" spans="1:14" s="178" customFormat="1" x14ac:dyDescent="0.3">
      <c r="H16" s="840" t="s">
        <v>547</v>
      </c>
      <c r="I16" s="841">
        <f>SUM(I14:I15)</f>
        <v>0.20250000000000001</v>
      </c>
      <c r="J16" s="161"/>
      <c r="K16" s="161"/>
      <c r="L16" s="161"/>
      <c r="M16" s="161"/>
      <c r="N16" s="161"/>
    </row>
    <row r="18" spans="1:14" s="178" customFormat="1" x14ac:dyDescent="0.3">
      <c r="A18" s="161"/>
      <c r="B18" s="161"/>
      <c r="C18" s="161"/>
      <c r="D18" s="161"/>
      <c r="E18" s="161"/>
      <c r="F18" s="161"/>
      <c r="G18" s="161"/>
      <c r="H18" s="161"/>
      <c r="I18" s="161"/>
      <c r="J18" s="161"/>
      <c r="K18" s="161"/>
      <c r="L18" s="161"/>
      <c r="M18" s="161"/>
      <c r="N18" s="161"/>
    </row>
    <row r="19" spans="1:14" x14ac:dyDescent="0.3">
      <c r="J19" s="178"/>
    </row>
    <row r="20" spans="1:14" x14ac:dyDescent="0.3">
      <c r="K20" s="178"/>
      <c r="L20" s="178"/>
      <c r="M20" s="178"/>
      <c r="N20" s="178"/>
    </row>
    <row r="22" spans="1:14" x14ac:dyDescent="0.3">
      <c r="K22" s="178"/>
      <c r="L22" s="178"/>
      <c r="M22" s="178"/>
      <c r="N22" s="178"/>
    </row>
    <row r="27" spans="1:14" s="178" customFormat="1" x14ac:dyDescent="0.3">
      <c r="A27" s="161"/>
      <c r="B27" s="161"/>
      <c r="C27" s="161"/>
      <c r="D27" s="161"/>
      <c r="E27" s="161"/>
      <c r="F27" s="161"/>
      <c r="G27" s="161"/>
      <c r="H27" s="161"/>
      <c r="I27" s="161"/>
      <c r="J27" s="161"/>
      <c r="K27" s="161"/>
      <c r="L27" s="161"/>
      <c r="M27" s="161"/>
      <c r="N27" s="161"/>
    </row>
    <row r="29" spans="1:14" s="178" customFormat="1" x14ac:dyDescent="0.3">
      <c r="A29" s="161"/>
      <c r="B29" s="161"/>
      <c r="C29" s="161"/>
      <c r="D29" s="161"/>
      <c r="E29" s="161"/>
      <c r="F29" s="161"/>
      <c r="G29" s="161"/>
      <c r="H29" s="161"/>
      <c r="I29" s="161"/>
      <c r="J29" s="161"/>
      <c r="K29" s="161"/>
      <c r="L29" s="161"/>
      <c r="M29" s="161"/>
      <c r="N29" s="161"/>
    </row>
    <row r="31" spans="1:14" x14ac:dyDescent="0.3">
      <c r="K31" s="178"/>
      <c r="L31" s="178"/>
      <c r="M31" s="178"/>
      <c r="N31" s="178"/>
    </row>
    <row r="33" spans="1:14" x14ac:dyDescent="0.3">
      <c r="K33" s="178"/>
      <c r="L33" s="178"/>
      <c r="M33" s="178"/>
      <c r="N33" s="178"/>
    </row>
    <row r="36" spans="1:14" x14ac:dyDescent="0.3">
      <c r="K36" s="178"/>
      <c r="L36" s="178"/>
      <c r="M36" s="178"/>
      <c r="N36" s="178"/>
    </row>
    <row r="38" spans="1:14" s="178" customFormat="1" x14ac:dyDescent="0.3">
      <c r="A38" s="161"/>
      <c r="B38" s="161"/>
      <c r="C38" s="161"/>
      <c r="D38" s="161"/>
      <c r="E38" s="161"/>
      <c r="F38" s="161"/>
      <c r="G38" s="161"/>
      <c r="H38" s="161"/>
      <c r="I38" s="161"/>
      <c r="J38" s="161"/>
      <c r="K38" s="161"/>
      <c r="L38" s="161"/>
      <c r="M38" s="161"/>
      <c r="N38" s="161"/>
    </row>
    <row r="40" spans="1:14" s="178" customFormat="1" x14ac:dyDescent="0.3">
      <c r="A40" s="161"/>
      <c r="B40" s="161"/>
      <c r="C40" s="161"/>
      <c r="D40" s="161"/>
      <c r="E40" s="161"/>
      <c r="F40" s="161"/>
      <c r="G40" s="161"/>
      <c r="H40" s="161"/>
      <c r="I40" s="161"/>
      <c r="J40" s="161"/>
      <c r="K40" s="161"/>
      <c r="L40" s="161"/>
      <c r="M40" s="161"/>
      <c r="N40" s="161"/>
    </row>
    <row r="43" spans="1:14" s="178" customFormat="1" x14ac:dyDescent="0.3">
      <c r="A43" s="161"/>
      <c r="B43" s="161"/>
      <c r="C43" s="161"/>
      <c r="D43" s="161"/>
      <c r="E43" s="161"/>
      <c r="F43" s="161"/>
      <c r="G43" s="161"/>
      <c r="H43" s="161"/>
      <c r="I43" s="161"/>
      <c r="J43" s="161"/>
      <c r="K43" s="161"/>
      <c r="L43" s="161"/>
      <c r="M43" s="161"/>
      <c r="N43" s="161"/>
    </row>
  </sheetData>
  <pageMargins left="0.7" right="0.7" top="0.75" bottom="0.75" header="0.3" footer="0.3"/>
  <pageSetup paperSize="9" scale="66" orientation="landscape" r:id="rId1"/>
</worksheet>
</file>

<file path=xl/worksheets/sheet3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A1"/>
  <sheetViews>
    <sheetView showGridLines="0" zoomScaleNormal="100" workbookViewId="0">
      <selection activeCell="A30" sqref="A30:IV30"/>
    </sheetView>
  </sheetViews>
  <sheetFormatPr defaultColWidth="11.5546875" defaultRowHeight="14.4" x14ac:dyDescent="0.3"/>
  <sheetData/>
  <pageMargins left="0.7" right="0.7" top="0.75" bottom="0.75" header="0.3" footer="0.3"/>
  <pageSetup paperSize="9" orientation="portrait" r:id="rId1"/>
  <drawing r:id="rId2"/>
</worksheet>
</file>

<file path=xl/worksheets/sheet3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-0.499984740745262"/>
    <pageSetUpPr fitToPage="1"/>
  </sheetPr>
  <dimension ref="A1:O26"/>
  <sheetViews>
    <sheetView showGridLines="0" workbookViewId="0"/>
  </sheetViews>
  <sheetFormatPr defaultColWidth="11.44140625" defaultRowHeight="14.4" x14ac:dyDescent="0.3"/>
  <cols>
    <col min="2" max="2" width="21.44140625" customWidth="1"/>
    <col min="3" max="3" width="17" bestFit="1" customWidth="1"/>
    <col min="13" max="13" width="13.6640625" bestFit="1" customWidth="1"/>
  </cols>
  <sheetData>
    <row r="1" spans="1:15" x14ac:dyDescent="0.3">
      <c r="A1" s="943" t="s">
        <v>523</v>
      </c>
      <c r="B1" s="161" t="s">
        <v>530</v>
      </c>
      <c r="J1" s="943" t="s">
        <v>528</v>
      </c>
      <c r="K1" s="163">
        <v>81</v>
      </c>
      <c r="M1" s="943" t="s">
        <v>531</v>
      </c>
      <c r="N1" s="164">
        <f>E12+N16+I21+J25</f>
        <v>209.91</v>
      </c>
    </row>
    <row r="2" spans="1:15" x14ac:dyDescent="0.3">
      <c r="A2" s="943" t="s">
        <v>532</v>
      </c>
      <c r="B2" s="161" t="s">
        <v>2895</v>
      </c>
      <c r="M2" s="943" t="s">
        <v>533</v>
      </c>
      <c r="N2" s="165">
        <v>4</v>
      </c>
    </row>
    <row r="3" spans="1:15" x14ac:dyDescent="0.3">
      <c r="A3" s="943" t="s">
        <v>534</v>
      </c>
      <c r="B3" s="161" t="s">
        <v>2896</v>
      </c>
      <c r="J3" s="943" t="s">
        <v>536</v>
      </c>
    </row>
    <row r="4" spans="1:15" x14ac:dyDescent="0.3">
      <c r="A4" s="943" t="s">
        <v>537</v>
      </c>
      <c r="B4" s="166" t="s">
        <v>504</v>
      </c>
      <c r="J4" s="943" t="s">
        <v>538</v>
      </c>
      <c r="M4" s="943" t="s">
        <v>539</v>
      </c>
      <c r="N4" s="164">
        <f>N1*N2</f>
        <v>839.64</v>
      </c>
    </row>
    <row r="5" spans="1:15" x14ac:dyDescent="0.3">
      <c r="A5" s="943" t="s">
        <v>540</v>
      </c>
      <c r="B5" s="161" t="s">
        <v>36</v>
      </c>
      <c r="J5" s="943" t="s">
        <v>541</v>
      </c>
    </row>
    <row r="6" spans="1:15" x14ac:dyDescent="0.3">
      <c r="A6" s="943" t="s">
        <v>542</v>
      </c>
      <c r="B6" s="161" t="s">
        <v>2897</v>
      </c>
    </row>
    <row r="8" spans="1:15" x14ac:dyDescent="0.3">
      <c r="A8" s="944" t="s">
        <v>544</v>
      </c>
      <c r="B8" s="944" t="s">
        <v>545</v>
      </c>
      <c r="C8" s="944" t="s">
        <v>546</v>
      </c>
      <c r="D8" s="944" t="s">
        <v>28</v>
      </c>
      <c r="E8" s="944" t="s">
        <v>547</v>
      </c>
    </row>
    <row r="9" spans="1:15" x14ac:dyDescent="0.3">
      <c r="A9" s="168">
        <v>10</v>
      </c>
      <c r="B9" s="170" t="s">
        <v>507</v>
      </c>
      <c r="C9" s="170">
        <f>'WT 01001'!N1</f>
        <v>115</v>
      </c>
      <c r="D9" s="171">
        <v>1</v>
      </c>
      <c r="E9" s="223">
        <f>D9*C9</f>
        <v>115</v>
      </c>
    </row>
    <row r="10" spans="1:15" x14ac:dyDescent="0.3">
      <c r="A10" s="168">
        <v>20</v>
      </c>
      <c r="B10" s="170" t="s">
        <v>509</v>
      </c>
      <c r="C10" s="170">
        <f>'WT 01002'!N1</f>
        <v>85</v>
      </c>
      <c r="D10" s="171">
        <v>1</v>
      </c>
      <c r="E10" s="223">
        <f>D10*C10</f>
        <v>85</v>
      </c>
      <c r="H10" s="173"/>
      <c r="I10" s="174"/>
      <c r="J10" s="174"/>
      <c r="K10" s="175"/>
      <c r="L10" s="174"/>
      <c r="M10" s="174"/>
      <c r="N10" s="174"/>
      <c r="O10" s="174"/>
    </row>
    <row r="11" spans="1:15" x14ac:dyDescent="0.3">
      <c r="A11" s="168">
        <v>30</v>
      </c>
      <c r="B11" s="170" t="s">
        <v>2898</v>
      </c>
      <c r="C11" s="170">
        <f>'WT 01003'!N1</f>
        <v>1</v>
      </c>
      <c r="D11" s="171">
        <v>1</v>
      </c>
      <c r="E11" s="223">
        <f>D11*C11</f>
        <v>1</v>
      </c>
      <c r="H11" s="256"/>
      <c r="I11" s="256"/>
      <c r="J11" s="256"/>
      <c r="K11" s="945"/>
    </row>
    <row r="12" spans="1:15" x14ac:dyDescent="0.3">
      <c r="D12" s="946" t="s">
        <v>547</v>
      </c>
      <c r="E12" s="947">
        <f>SUM(E9:E11)</f>
        <v>201</v>
      </c>
    </row>
    <row r="14" spans="1:15" x14ac:dyDescent="0.3">
      <c r="A14" s="944" t="s">
        <v>544</v>
      </c>
      <c r="B14" s="944" t="s">
        <v>581</v>
      </c>
      <c r="C14" s="944" t="s">
        <v>549</v>
      </c>
      <c r="D14" s="944" t="s">
        <v>550</v>
      </c>
      <c r="E14" s="944" t="s">
        <v>567</v>
      </c>
      <c r="F14" s="944" t="s">
        <v>568</v>
      </c>
      <c r="G14" s="944" t="s">
        <v>569</v>
      </c>
      <c r="H14" s="944" t="s">
        <v>570</v>
      </c>
      <c r="I14" s="944" t="s">
        <v>582</v>
      </c>
      <c r="J14" s="944" t="s">
        <v>583</v>
      </c>
      <c r="K14" s="944" t="s">
        <v>584</v>
      </c>
      <c r="L14" s="944" t="s">
        <v>585</v>
      </c>
      <c r="M14" s="944" t="s">
        <v>28</v>
      </c>
      <c r="N14" s="944" t="s">
        <v>547</v>
      </c>
    </row>
    <row r="15" spans="1:15" ht="28.8" x14ac:dyDescent="0.3">
      <c r="A15" s="168">
        <v>10</v>
      </c>
      <c r="B15" s="225" t="s">
        <v>2899</v>
      </c>
      <c r="C15" s="168"/>
      <c r="D15" s="170">
        <v>4</v>
      </c>
      <c r="E15" s="168"/>
      <c r="F15" s="168"/>
      <c r="G15" s="168"/>
      <c r="H15" s="219"/>
      <c r="I15" s="220"/>
      <c r="J15" s="221"/>
      <c r="K15" s="219"/>
      <c r="L15" s="219"/>
      <c r="M15" s="222">
        <v>1</v>
      </c>
      <c r="N15" s="223">
        <f>M15*D15</f>
        <v>4</v>
      </c>
    </row>
    <row r="16" spans="1:15" x14ac:dyDescent="0.3">
      <c r="A16" s="178"/>
      <c r="B16" s="178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946" t="s">
        <v>547</v>
      </c>
      <c r="N16" s="947">
        <f>SUM(N15:N15)</f>
        <v>4</v>
      </c>
    </row>
    <row r="18" spans="1:14" x14ac:dyDescent="0.3">
      <c r="A18" s="944" t="s">
        <v>544</v>
      </c>
      <c r="B18" s="944" t="s">
        <v>548</v>
      </c>
      <c r="C18" s="944" t="s">
        <v>549</v>
      </c>
      <c r="D18" s="944" t="s">
        <v>550</v>
      </c>
      <c r="E18" s="944" t="s">
        <v>551</v>
      </c>
      <c r="F18" s="944" t="s">
        <v>28</v>
      </c>
      <c r="G18" s="944" t="s">
        <v>552</v>
      </c>
      <c r="H18" s="944" t="s">
        <v>553</v>
      </c>
      <c r="I18" s="944" t="s">
        <v>547</v>
      </c>
      <c r="J18" s="178"/>
      <c r="K18" s="178"/>
      <c r="L18" s="178"/>
      <c r="M18" s="178"/>
      <c r="N18" s="178"/>
    </row>
    <row r="19" spans="1:14" x14ac:dyDescent="0.3">
      <c r="A19" s="168">
        <v>10</v>
      </c>
      <c r="B19" s="171" t="s">
        <v>2900</v>
      </c>
      <c r="C19" s="171" t="s">
        <v>2901</v>
      </c>
      <c r="D19" s="170">
        <v>0.31</v>
      </c>
      <c r="E19" s="168" t="s">
        <v>556</v>
      </c>
      <c r="F19" s="168">
        <v>1</v>
      </c>
      <c r="G19" s="168"/>
      <c r="H19" s="168">
        <v>1</v>
      </c>
      <c r="I19" s="170">
        <f>D19*F19</f>
        <v>0.31</v>
      </c>
    </row>
    <row r="20" spans="1:14" x14ac:dyDescent="0.3">
      <c r="A20" s="168">
        <v>20</v>
      </c>
      <c r="B20" s="171" t="s">
        <v>2902</v>
      </c>
      <c r="C20" s="171" t="s">
        <v>2903</v>
      </c>
      <c r="D20" s="170">
        <v>0.75</v>
      </c>
      <c r="E20" s="168" t="s">
        <v>2904</v>
      </c>
      <c r="F20" s="168">
        <v>4</v>
      </c>
      <c r="G20" s="168"/>
      <c r="H20" s="168">
        <v>1</v>
      </c>
      <c r="I20" s="170">
        <f>D20*F20</f>
        <v>3</v>
      </c>
    </row>
    <row r="21" spans="1:14" x14ac:dyDescent="0.3">
      <c r="A21" s="178"/>
      <c r="B21" s="178"/>
      <c r="C21" s="178"/>
      <c r="D21" s="178"/>
      <c r="E21" s="178"/>
      <c r="F21" s="178"/>
      <c r="G21" s="178"/>
      <c r="H21" s="946" t="s">
        <v>547</v>
      </c>
      <c r="I21" s="947">
        <f>SUM(I19:I20)</f>
        <v>3.31</v>
      </c>
    </row>
    <row r="23" spans="1:14" x14ac:dyDescent="0.3">
      <c r="A23" s="944" t="s">
        <v>544</v>
      </c>
      <c r="B23" s="944" t="s">
        <v>566</v>
      </c>
      <c r="C23" s="944" t="s">
        <v>549</v>
      </c>
      <c r="D23" s="944" t="s">
        <v>550</v>
      </c>
      <c r="E23" s="944" t="s">
        <v>567</v>
      </c>
      <c r="F23" s="944" t="s">
        <v>568</v>
      </c>
      <c r="G23" s="944" t="s">
        <v>569</v>
      </c>
      <c r="H23" s="944" t="s">
        <v>570</v>
      </c>
      <c r="I23" s="944" t="s">
        <v>28</v>
      </c>
      <c r="J23" s="944" t="s">
        <v>547</v>
      </c>
    </row>
    <row r="24" spans="1:14" x14ac:dyDescent="0.3">
      <c r="A24" s="168">
        <v>10</v>
      </c>
      <c r="B24" s="225" t="s">
        <v>2905</v>
      </c>
      <c r="C24" s="168" t="s">
        <v>2906</v>
      </c>
      <c r="D24" s="170">
        <v>0.4</v>
      </c>
      <c r="E24" s="168"/>
      <c r="F24" s="189"/>
      <c r="G24" s="168"/>
      <c r="H24" s="171"/>
      <c r="I24" s="188">
        <v>4</v>
      </c>
      <c r="J24" s="170">
        <f>I24*D24</f>
        <v>1.6</v>
      </c>
    </row>
    <row r="25" spans="1:14" x14ac:dyDescent="0.3">
      <c r="A25" s="178"/>
      <c r="B25" s="178"/>
      <c r="C25" s="178"/>
      <c r="D25" s="178"/>
      <c r="E25" s="178"/>
      <c r="F25" s="178"/>
      <c r="G25" s="178"/>
      <c r="H25" s="178"/>
      <c r="I25" s="946" t="s">
        <v>547</v>
      </c>
      <c r="J25" s="947">
        <f>J24</f>
        <v>1.6</v>
      </c>
    </row>
    <row r="26" spans="1:14" x14ac:dyDescent="0.3">
      <c r="H26" s="326"/>
      <c r="I26" s="325"/>
    </row>
  </sheetData>
  <pageMargins left="0.7" right="0.7" top="0.75" bottom="0.75" header="0.3" footer="0.3"/>
  <pageSetup paperSize="9" scale="73" fitToHeight="0" orientation="landscape" r:id="rId1"/>
</worksheet>
</file>

<file path=xl/worksheets/sheet3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39997558519241921"/>
    <pageSetUpPr fitToPage="1"/>
  </sheetPr>
  <dimension ref="A1:N176"/>
  <sheetViews>
    <sheetView showGridLines="0" workbookViewId="0"/>
  </sheetViews>
  <sheetFormatPr defaultColWidth="11.5546875" defaultRowHeight="14.4" x14ac:dyDescent="0.3"/>
  <cols>
    <col min="2" max="2" width="17.109375" customWidth="1"/>
    <col min="13" max="13" width="13.6640625" bestFit="1" customWidth="1"/>
  </cols>
  <sheetData>
    <row r="1" spans="1:14" x14ac:dyDescent="0.3">
      <c r="A1" s="948" t="s">
        <v>523</v>
      </c>
      <c r="B1" s="161" t="s">
        <v>524</v>
      </c>
      <c r="J1" s="949" t="s">
        <v>528</v>
      </c>
      <c r="K1" s="163">
        <v>81</v>
      </c>
      <c r="M1" s="948" t="s">
        <v>546</v>
      </c>
      <c r="N1" s="164">
        <f>N11</f>
        <v>115</v>
      </c>
    </row>
    <row r="2" spans="1:14" x14ac:dyDescent="0.3">
      <c r="A2" s="948" t="s">
        <v>532</v>
      </c>
      <c r="B2" s="161" t="s">
        <v>2895</v>
      </c>
      <c r="D2" s="948" t="s">
        <v>536</v>
      </c>
      <c r="M2" s="948" t="s">
        <v>533</v>
      </c>
      <c r="N2" s="165">
        <v>4</v>
      </c>
    </row>
    <row r="3" spans="1:14" x14ac:dyDescent="0.3">
      <c r="A3" s="948" t="s">
        <v>534</v>
      </c>
      <c r="B3" s="161" t="s">
        <v>2896</v>
      </c>
      <c r="D3" s="948" t="s">
        <v>538</v>
      </c>
      <c r="J3" s="948" t="s">
        <v>536</v>
      </c>
    </row>
    <row r="4" spans="1:14" x14ac:dyDescent="0.3">
      <c r="A4" s="948" t="s">
        <v>545</v>
      </c>
      <c r="B4" s="166" t="s">
        <v>2907</v>
      </c>
      <c r="D4" s="948" t="s">
        <v>541</v>
      </c>
      <c r="J4" s="948" t="s">
        <v>538</v>
      </c>
      <c r="M4" s="948" t="s">
        <v>539</v>
      </c>
      <c r="N4" s="164">
        <f>N1*N2</f>
        <v>460</v>
      </c>
    </row>
    <row r="5" spans="1:14" x14ac:dyDescent="0.3">
      <c r="A5" s="948" t="s">
        <v>537</v>
      </c>
      <c r="B5" s="166" t="s">
        <v>506</v>
      </c>
      <c r="J5" s="948" t="s">
        <v>541</v>
      </c>
    </row>
    <row r="6" spans="1:14" x14ac:dyDescent="0.3">
      <c r="A6" s="948" t="s">
        <v>540</v>
      </c>
      <c r="B6" s="161" t="s">
        <v>36</v>
      </c>
    </row>
    <row r="7" spans="1:14" x14ac:dyDescent="0.3">
      <c r="A7" s="950" t="s">
        <v>542</v>
      </c>
      <c r="B7" s="161" t="s">
        <v>2908</v>
      </c>
    </row>
    <row r="8" spans="1:14" x14ac:dyDescent="0.3">
      <c r="A8" s="201"/>
      <c r="B8" s="201"/>
      <c r="C8" s="201"/>
      <c r="D8" s="201"/>
      <c r="E8" s="201"/>
      <c r="F8" s="951"/>
    </row>
    <row r="9" spans="1:14" x14ac:dyDescent="0.3">
      <c r="A9" s="952" t="s">
        <v>544</v>
      </c>
      <c r="B9" s="952" t="s">
        <v>581</v>
      </c>
      <c r="C9" s="952" t="s">
        <v>549</v>
      </c>
      <c r="D9" s="952" t="s">
        <v>550</v>
      </c>
      <c r="E9" s="952" t="s">
        <v>567</v>
      </c>
      <c r="F9" s="952" t="s">
        <v>568</v>
      </c>
      <c r="G9" s="953" t="s">
        <v>569</v>
      </c>
      <c r="H9" s="953" t="s">
        <v>570</v>
      </c>
      <c r="I9" s="953" t="s">
        <v>582</v>
      </c>
      <c r="J9" s="953" t="s">
        <v>583</v>
      </c>
      <c r="K9" s="953" t="s">
        <v>584</v>
      </c>
      <c r="L9" s="953" t="s">
        <v>585</v>
      </c>
      <c r="M9" s="953" t="s">
        <v>28</v>
      </c>
      <c r="N9" s="953" t="s">
        <v>547</v>
      </c>
    </row>
    <row r="10" spans="1:14" ht="28.8" x14ac:dyDescent="0.3">
      <c r="A10" s="168">
        <v>10</v>
      </c>
      <c r="B10" s="225" t="s">
        <v>2909</v>
      </c>
      <c r="C10" s="168" t="s">
        <v>507</v>
      </c>
      <c r="D10" s="170">
        <v>115</v>
      </c>
      <c r="E10" s="168"/>
      <c r="F10" s="168"/>
      <c r="G10" s="168"/>
      <c r="H10" s="219"/>
      <c r="I10" s="220"/>
      <c r="J10" s="221"/>
      <c r="K10" s="219"/>
      <c r="L10" s="219"/>
      <c r="M10" s="222">
        <v>1</v>
      </c>
      <c r="N10" s="223">
        <f>M10*D10</f>
        <v>115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954" t="s">
        <v>547</v>
      </c>
      <c r="N11" s="955">
        <f>SUM(N10:N10)</f>
        <v>115</v>
      </c>
    </row>
    <row r="39" spans="1:8" x14ac:dyDescent="0.3">
      <c r="A39" s="161"/>
      <c r="B39" s="161"/>
      <c r="C39" s="161"/>
      <c r="D39" s="161"/>
      <c r="E39" s="161"/>
      <c r="F39" s="161"/>
      <c r="G39" s="161"/>
      <c r="H39" s="161"/>
    </row>
    <row r="40" spans="1:8" x14ac:dyDescent="0.3">
      <c r="A40" s="161"/>
      <c r="B40" s="161"/>
      <c r="C40" s="161"/>
      <c r="D40" s="161"/>
      <c r="E40" s="161"/>
      <c r="F40" s="161"/>
      <c r="G40" s="161"/>
      <c r="H40" s="161"/>
    </row>
    <row r="41" spans="1:8" x14ac:dyDescent="0.3">
      <c r="A41" s="161"/>
      <c r="B41" s="161"/>
      <c r="C41" s="161"/>
      <c r="D41" s="161"/>
      <c r="E41" s="161"/>
      <c r="F41" s="161"/>
      <c r="G41" s="161"/>
      <c r="H41" s="161"/>
    </row>
    <row r="42" spans="1:8" x14ac:dyDescent="0.3">
      <c r="A42" s="161"/>
      <c r="B42" s="161"/>
      <c r="C42" s="161"/>
      <c r="D42" s="161"/>
      <c r="E42" s="161"/>
      <c r="F42" s="161"/>
      <c r="G42" s="161"/>
      <c r="H42" s="161"/>
    </row>
    <row r="43" spans="1:8" x14ac:dyDescent="0.3">
      <c r="A43" s="161"/>
      <c r="B43" s="161"/>
      <c r="C43" s="161"/>
      <c r="D43" s="161"/>
      <c r="E43" s="161"/>
      <c r="F43" s="161"/>
      <c r="G43" s="161"/>
      <c r="H43" s="161"/>
    </row>
    <row r="44" spans="1:8" x14ac:dyDescent="0.3">
      <c r="A44" s="161"/>
      <c r="B44" s="161"/>
      <c r="C44" s="161"/>
      <c r="D44" s="161"/>
      <c r="E44" s="161"/>
      <c r="F44" s="161"/>
      <c r="G44" s="161"/>
      <c r="H44" s="161"/>
    </row>
    <row r="45" spans="1:8" x14ac:dyDescent="0.3">
      <c r="A45" s="161"/>
      <c r="B45" s="161"/>
      <c r="C45" s="161"/>
      <c r="D45" s="161"/>
      <c r="E45" s="161"/>
      <c r="F45" s="161"/>
      <c r="G45" s="161"/>
      <c r="H45" s="161"/>
    </row>
    <row r="46" spans="1:8" x14ac:dyDescent="0.3">
      <c r="A46" s="161"/>
      <c r="B46" s="161"/>
      <c r="C46" s="161"/>
      <c r="D46" s="161"/>
      <c r="E46" s="161"/>
      <c r="F46" s="161"/>
      <c r="G46" s="161"/>
      <c r="H46" s="161"/>
    </row>
    <row r="47" spans="1:8" x14ac:dyDescent="0.3">
      <c r="A47" s="161"/>
      <c r="B47" s="161"/>
      <c r="C47" s="161"/>
      <c r="D47" s="161"/>
      <c r="E47" s="161"/>
      <c r="F47" s="161"/>
      <c r="G47" s="161"/>
      <c r="H47" s="161"/>
    </row>
    <row r="48" spans="1:8" x14ac:dyDescent="0.3">
      <c r="A48" s="161"/>
      <c r="B48" s="161"/>
      <c r="C48" s="161"/>
      <c r="D48" s="161"/>
      <c r="E48" s="161"/>
      <c r="F48" s="161"/>
      <c r="G48" s="161"/>
      <c r="H48" s="161"/>
    </row>
    <row r="49" spans="1:8" x14ac:dyDescent="0.3">
      <c r="A49" s="161"/>
      <c r="B49" s="161"/>
      <c r="C49" s="161"/>
      <c r="D49" s="161"/>
      <c r="E49" s="161"/>
      <c r="F49" s="161"/>
      <c r="G49" s="161"/>
      <c r="H49" s="161"/>
    </row>
    <row r="50" spans="1:8" x14ac:dyDescent="0.3">
      <c r="A50" s="161"/>
      <c r="B50" s="161"/>
      <c r="C50" s="161"/>
      <c r="D50" s="161"/>
      <c r="E50" s="161"/>
      <c r="F50" s="161"/>
      <c r="G50" s="161"/>
      <c r="H50" s="161"/>
    </row>
    <row r="51" spans="1:8" x14ac:dyDescent="0.3">
      <c r="A51" s="161"/>
      <c r="B51" s="161"/>
      <c r="C51" s="161"/>
      <c r="D51" s="161"/>
      <c r="E51" s="161"/>
      <c r="F51" s="161"/>
      <c r="G51" s="161"/>
      <c r="H51" s="161"/>
    </row>
    <row r="52" spans="1:8" x14ac:dyDescent="0.3">
      <c r="A52" s="161"/>
      <c r="B52" s="161"/>
      <c r="C52" s="161"/>
      <c r="D52" s="161"/>
      <c r="E52" s="161"/>
      <c r="F52" s="161"/>
      <c r="G52" s="161"/>
      <c r="H52" s="161"/>
    </row>
    <row r="53" spans="1:8" x14ac:dyDescent="0.3">
      <c r="A53" s="161"/>
      <c r="B53" s="161"/>
      <c r="C53" s="161"/>
      <c r="D53" s="161"/>
      <c r="E53" s="161"/>
      <c r="F53" s="161"/>
      <c r="G53" s="161"/>
      <c r="H53" s="161"/>
    </row>
    <row r="54" spans="1:8" x14ac:dyDescent="0.3">
      <c r="A54" s="161"/>
      <c r="B54" s="161"/>
      <c r="C54" s="161"/>
      <c r="D54" s="161"/>
      <c r="E54" s="161"/>
      <c r="F54" s="161"/>
      <c r="G54" s="161"/>
      <c r="H54" s="161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</sheetData>
  <pageMargins left="0.7" right="0.7" top="0.75" bottom="0.75" header="0.3" footer="0.3"/>
  <pageSetup paperSize="9" scale="77" fitToHeight="0" orientation="landscape" r:id="rId1"/>
</worksheet>
</file>

<file path=xl/worksheets/sheet3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39997558519241921"/>
    <pageSetUpPr fitToPage="1"/>
  </sheetPr>
  <dimension ref="A1:N183"/>
  <sheetViews>
    <sheetView showGridLines="0" workbookViewId="0"/>
  </sheetViews>
  <sheetFormatPr defaultColWidth="11.44140625" defaultRowHeight="14.4" x14ac:dyDescent="0.3"/>
  <cols>
    <col min="2" max="2" width="14.33203125" customWidth="1"/>
    <col min="13" max="13" width="13.6640625" bestFit="1" customWidth="1"/>
  </cols>
  <sheetData>
    <row r="1" spans="1:14" x14ac:dyDescent="0.3">
      <c r="A1" s="948" t="s">
        <v>523</v>
      </c>
      <c r="B1" s="161" t="s">
        <v>524</v>
      </c>
      <c r="J1" s="949" t="s">
        <v>528</v>
      </c>
      <c r="K1" s="163">
        <v>81</v>
      </c>
      <c r="M1" s="948" t="s">
        <v>546</v>
      </c>
      <c r="N1" s="164">
        <f>N11</f>
        <v>85</v>
      </c>
    </row>
    <row r="2" spans="1:14" x14ac:dyDescent="0.3">
      <c r="A2" s="948" t="s">
        <v>532</v>
      </c>
      <c r="B2" s="161" t="s">
        <v>2895</v>
      </c>
      <c r="D2" s="948" t="s">
        <v>536</v>
      </c>
      <c r="M2" s="948" t="s">
        <v>533</v>
      </c>
      <c r="N2" s="165">
        <v>4</v>
      </c>
    </row>
    <row r="3" spans="1:14" x14ac:dyDescent="0.3">
      <c r="A3" s="948" t="s">
        <v>534</v>
      </c>
      <c r="B3" s="161" t="s">
        <v>2896</v>
      </c>
      <c r="D3" s="948" t="s">
        <v>538</v>
      </c>
      <c r="J3" s="948" t="s">
        <v>536</v>
      </c>
    </row>
    <row r="4" spans="1:14" x14ac:dyDescent="0.3">
      <c r="A4" s="948" t="s">
        <v>545</v>
      </c>
      <c r="B4" s="166" t="s">
        <v>2910</v>
      </c>
      <c r="D4" s="948" t="s">
        <v>541</v>
      </c>
      <c r="J4" s="948" t="s">
        <v>538</v>
      </c>
      <c r="M4" s="948" t="s">
        <v>539</v>
      </c>
      <c r="N4" s="164">
        <f>N1*N2</f>
        <v>340</v>
      </c>
    </row>
    <row r="5" spans="1:14" x14ac:dyDescent="0.3">
      <c r="A5" s="948" t="s">
        <v>537</v>
      </c>
      <c r="B5" s="166" t="s">
        <v>508</v>
      </c>
      <c r="J5" s="948" t="s">
        <v>541</v>
      </c>
    </row>
    <row r="6" spans="1:14" x14ac:dyDescent="0.3">
      <c r="A6" s="948" t="s">
        <v>540</v>
      </c>
      <c r="B6" s="161" t="s">
        <v>36</v>
      </c>
    </row>
    <row r="7" spans="1:14" x14ac:dyDescent="0.3">
      <c r="A7" s="950" t="s">
        <v>542</v>
      </c>
      <c r="B7" s="161" t="s">
        <v>2911</v>
      </c>
    </row>
    <row r="8" spans="1:14" x14ac:dyDescent="0.3">
      <c r="A8" s="201"/>
      <c r="B8" s="201"/>
      <c r="C8" s="201"/>
      <c r="D8" s="201"/>
      <c r="E8" s="201"/>
      <c r="F8" s="951"/>
    </row>
    <row r="9" spans="1:14" x14ac:dyDescent="0.3">
      <c r="A9" s="952" t="s">
        <v>544</v>
      </c>
      <c r="B9" s="952" t="s">
        <v>581</v>
      </c>
      <c r="C9" s="952" t="s">
        <v>549</v>
      </c>
      <c r="D9" s="952" t="s">
        <v>550</v>
      </c>
      <c r="E9" s="952" t="s">
        <v>567</v>
      </c>
      <c r="F9" s="952" t="s">
        <v>568</v>
      </c>
      <c r="G9" s="953" t="s">
        <v>569</v>
      </c>
      <c r="H9" s="953" t="s">
        <v>570</v>
      </c>
      <c r="I9" s="953" t="s">
        <v>582</v>
      </c>
      <c r="J9" s="953" t="s">
        <v>583</v>
      </c>
      <c r="K9" s="953" t="s">
        <v>584</v>
      </c>
      <c r="L9" s="953" t="s">
        <v>585</v>
      </c>
      <c r="M9" s="953" t="s">
        <v>28</v>
      </c>
      <c r="N9" s="953" t="s">
        <v>547</v>
      </c>
    </row>
    <row r="10" spans="1:14" ht="28.8" x14ac:dyDescent="0.3">
      <c r="A10" s="168">
        <v>10</v>
      </c>
      <c r="B10" s="184" t="s">
        <v>2911</v>
      </c>
      <c r="C10" s="168"/>
      <c r="D10" s="170">
        <v>85</v>
      </c>
      <c r="E10" s="168"/>
      <c r="F10" s="168"/>
      <c r="G10" s="168"/>
      <c r="H10" s="219"/>
      <c r="I10" s="220"/>
      <c r="J10" s="221"/>
      <c r="K10" s="219"/>
      <c r="L10" s="219"/>
      <c r="M10" s="222">
        <v>1</v>
      </c>
      <c r="N10" s="223">
        <f>M10*D10</f>
        <v>85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954" t="s">
        <v>547</v>
      </c>
      <c r="N11" s="955">
        <f>SUM(N10:N10)</f>
        <v>85</v>
      </c>
    </row>
    <row r="44" spans="1:8" ht="11.25" customHeight="1" x14ac:dyDescent="0.3"/>
    <row r="46" spans="1:8" x14ac:dyDescent="0.3">
      <c r="A46" s="161"/>
      <c r="B46" s="161"/>
      <c r="C46" s="161"/>
      <c r="D46" s="161"/>
      <c r="E46" s="161"/>
      <c r="F46" s="161"/>
      <c r="G46" s="161"/>
      <c r="H46" s="161"/>
    </row>
    <row r="47" spans="1:8" x14ac:dyDescent="0.3">
      <c r="A47" s="161"/>
      <c r="B47" s="161"/>
      <c r="C47" s="161"/>
      <c r="D47" s="161"/>
      <c r="E47" s="161"/>
      <c r="F47" s="161"/>
      <c r="G47" s="161"/>
      <c r="H47" s="161"/>
    </row>
    <row r="48" spans="1:8" x14ac:dyDescent="0.3">
      <c r="A48" s="161"/>
      <c r="B48" s="161"/>
      <c r="C48" s="161"/>
      <c r="D48" s="161"/>
      <c r="E48" s="161"/>
      <c r="F48" s="161"/>
      <c r="G48" s="161"/>
      <c r="H48" s="161"/>
    </row>
    <row r="49" spans="1:8" x14ac:dyDescent="0.3">
      <c r="A49" s="161"/>
      <c r="B49" s="161"/>
      <c r="C49" s="161"/>
      <c r="D49" s="161"/>
      <c r="E49" s="161"/>
      <c r="F49" s="161"/>
      <c r="G49" s="161"/>
      <c r="H49" s="161"/>
    </row>
    <row r="50" spans="1:8" x14ac:dyDescent="0.3">
      <c r="A50" s="161"/>
      <c r="B50" s="161"/>
      <c r="C50" s="161"/>
      <c r="D50" s="161"/>
      <c r="E50" s="161"/>
      <c r="F50" s="161"/>
      <c r="G50" s="161"/>
      <c r="H50" s="161"/>
    </row>
    <row r="51" spans="1:8" x14ac:dyDescent="0.3">
      <c r="A51" s="161"/>
      <c r="B51" s="161"/>
      <c r="C51" s="161"/>
      <c r="D51" s="161"/>
      <c r="E51" s="161"/>
      <c r="F51" s="161"/>
      <c r="G51" s="161"/>
      <c r="H51" s="161"/>
    </row>
    <row r="52" spans="1:8" x14ac:dyDescent="0.3">
      <c r="A52" s="161"/>
      <c r="B52" s="161"/>
      <c r="C52" s="161"/>
      <c r="D52" s="161"/>
      <c r="E52" s="161"/>
      <c r="F52" s="161"/>
      <c r="G52" s="161"/>
      <c r="H52" s="161"/>
    </row>
    <row r="53" spans="1:8" x14ac:dyDescent="0.3">
      <c r="A53" s="161"/>
      <c r="B53" s="161"/>
      <c r="C53" s="161"/>
      <c r="D53" s="161"/>
      <c r="E53" s="161"/>
      <c r="F53" s="161"/>
      <c r="G53" s="161"/>
      <c r="H53" s="161"/>
    </row>
    <row r="54" spans="1:8" x14ac:dyDescent="0.3">
      <c r="A54" s="161"/>
      <c r="B54" s="161"/>
      <c r="C54" s="161"/>
      <c r="D54" s="161"/>
      <c r="E54" s="161"/>
      <c r="F54" s="161"/>
      <c r="G54" s="161"/>
      <c r="H54" s="161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</sheetData>
  <pageMargins left="0.7" right="0.7" top="0.75" bottom="0.75" header="0.3" footer="0.3"/>
  <pageSetup paperSize="9" scale="79" fitToHeight="0" orientation="landscape" r:id="rId1"/>
</worksheet>
</file>

<file path=xl/worksheets/sheet3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39997558519241921"/>
    <pageSetUpPr fitToPage="1"/>
  </sheetPr>
  <dimension ref="A1:N11"/>
  <sheetViews>
    <sheetView showGridLines="0" workbookViewId="0"/>
  </sheetViews>
  <sheetFormatPr defaultColWidth="11.44140625" defaultRowHeight="14.4" x14ac:dyDescent="0.3"/>
  <cols>
    <col min="2" max="2" width="15.88671875" customWidth="1"/>
    <col min="3" max="3" width="14.33203125" bestFit="1" customWidth="1"/>
    <col min="13" max="13" width="13.6640625" bestFit="1" customWidth="1"/>
  </cols>
  <sheetData>
    <row r="1" spans="1:14" x14ac:dyDescent="0.3">
      <c r="A1" s="948" t="s">
        <v>523</v>
      </c>
      <c r="B1" s="161" t="s">
        <v>524</v>
      </c>
      <c r="J1" s="949" t="s">
        <v>528</v>
      </c>
      <c r="K1" s="163">
        <v>81</v>
      </c>
      <c r="M1" s="948" t="s">
        <v>546</v>
      </c>
      <c r="N1" s="164">
        <f>N11</f>
        <v>1</v>
      </c>
    </row>
    <row r="2" spans="1:14" x14ac:dyDescent="0.3">
      <c r="A2" s="948" t="s">
        <v>532</v>
      </c>
      <c r="B2" s="161" t="s">
        <v>2895</v>
      </c>
      <c r="D2" s="948" t="s">
        <v>536</v>
      </c>
      <c r="M2" s="948" t="s">
        <v>533</v>
      </c>
      <c r="N2" s="165">
        <v>4</v>
      </c>
    </row>
    <row r="3" spans="1:14" x14ac:dyDescent="0.3">
      <c r="A3" s="948" t="s">
        <v>534</v>
      </c>
      <c r="B3" s="161" t="s">
        <v>2896</v>
      </c>
      <c r="D3" s="948" t="s">
        <v>538</v>
      </c>
      <c r="J3" s="948" t="s">
        <v>536</v>
      </c>
    </row>
    <row r="4" spans="1:14" x14ac:dyDescent="0.3">
      <c r="A4" s="948" t="s">
        <v>545</v>
      </c>
      <c r="B4" s="166" t="s">
        <v>2898</v>
      </c>
      <c r="D4" s="948" t="s">
        <v>541</v>
      </c>
      <c r="J4" s="948" t="s">
        <v>538</v>
      </c>
      <c r="M4" s="948" t="s">
        <v>539</v>
      </c>
      <c r="N4" s="164">
        <f>N1*N2</f>
        <v>4</v>
      </c>
    </row>
    <row r="5" spans="1:14" x14ac:dyDescent="0.3">
      <c r="A5" s="948" t="s">
        <v>537</v>
      </c>
      <c r="B5" s="166" t="s">
        <v>510</v>
      </c>
      <c r="J5" s="948" t="s">
        <v>541</v>
      </c>
    </row>
    <row r="6" spans="1:14" x14ac:dyDescent="0.3">
      <c r="A6" s="948" t="s">
        <v>540</v>
      </c>
      <c r="B6" s="161" t="s">
        <v>36</v>
      </c>
    </row>
    <row r="7" spans="1:14" x14ac:dyDescent="0.3">
      <c r="A7" s="950" t="s">
        <v>542</v>
      </c>
      <c r="B7" s="161" t="s">
        <v>2912</v>
      </c>
    </row>
    <row r="8" spans="1:14" x14ac:dyDescent="0.3">
      <c r="A8" s="201"/>
      <c r="B8" s="201"/>
      <c r="C8" s="201"/>
      <c r="D8" s="201"/>
      <c r="E8" s="201"/>
      <c r="F8" s="951"/>
    </row>
    <row r="9" spans="1:14" x14ac:dyDescent="0.3">
      <c r="A9" s="952" t="s">
        <v>544</v>
      </c>
      <c r="B9" s="952" t="s">
        <v>581</v>
      </c>
      <c r="C9" s="952" t="s">
        <v>549</v>
      </c>
      <c r="D9" s="952" t="s">
        <v>550</v>
      </c>
      <c r="E9" s="952" t="s">
        <v>567</v>
      </c>
      <c r="F9" s="952" t="s">
        <v>568</v>
      </c>
      <c r="G9" s="953" t="s">
        <v>569</v>
      </c>
      <c r="H9" s="953" t="s">
        <v>570</v>
      </c>
      <c r="I9" s="953" t="s">
        <v>582</v>
      </c>
      <c r="J9" s="953" t="s">
        <v>583</v>
      </c>
      <c r="K9" s="953" t="s">
        <v>584</v>
      </c>
      <c r="L9" s="953" t="s">
        <v>585</v>
      </c>
      <c r="M9" s="953" t="s">
        <v>28</v>
      </c>
      <c r="N9" s="953" t="s">
        <v>547</v>
      </c>
    </row>
    <row r="10" spans="1:14" ht="28.8" x14ac:dyDescent="0.3">
      <c r="A10" s="168">
        <v>10</v>
      </c>
      <c r="B10" s="184" t="s">
        <v>2913</v>
      </c>
      <c r="C10" s="170"/>
      <c r="D10" s="179">
        <v>1</v>
      </c>
      <c r="E10" s="168"/>
      <c r="F10" s="168" t="s">
        <v>556</v>
      </c>
      <c r="G10" s="168"/>
      <c r="H10" s="219"/>
      <c r="I10" s="220"/>
      <c r="J10" s="221"/>
      <c r="K10" s="219"/>
      <c r="L10" s="219"/>
      <c r="M10" s="222">
        <v>1</v>
      </c>
      <c r="N10" s="223">
        <f>M10*D10</f>
        <v>1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954" t="s">
        <v>547</v>
      </c>
      <c r="N11" s="955">
        <f>SUM(N10:N10)</f>
        <v>1</v>
      </c>
    </row>
  </sheetData>
  <pageMargins left="0.7" right="0.7" top="0.75" bottom="0.75" header="0.3" footer="0.3"/>
  <pageSetup paperSize="9" scale="77" fitToHeight="0" orientation="landscape"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N50"/>
  <sheetViews>
    <sheetView showGridLines="0" zoomScaleNormal="100" workbookViewId="0"/>
  </sheetViews>
  <sheetFormatPr defaultColWidth="9.109375" defaultRowHeight="14.4" x14ac:dyDescent="0.3"/>
  <cols>
    <col min="1" max="1" width="12.88671875" style="161" bestFit="1" customWidth="1"/>
    <col min="2" max="2" width="25.5546875" style="161" customWidth="1"/>
    <col min="3" max="3" width="29.44140625" style="161" bestFit="1" customWidth="1"/>
    <col min="4" max="4" width="10.88671875" style="161" customWidth="1"/>
    <col min="5" max="5" width="12.88671875" style="161" customWidth="1"/>
    <col min="6" max="6" width="10.33203125" style="161" customWidth="1"/>
    <col min="7" max="7" width="10.88671875" style="161" customWidth="1"/>
    <col min="8" max="8" width="20.109375" style="161" customWidth="1"/>
    <col min="9" max="9" width="12.5546875" style="161" customWidth="1"/>
    <col min="10" max="10" width="12.5546875" style="161" bestFit="1" customWidth="1"/>
    <col min="11" max="11" width="8.5546875" style="161" customWidth="1"/>
    <col min="12" max="12" width="9.44140625" style="161" customWidth="1"/>
    <col min="13" max="13" width="18.33203125" style="161" customWidth="1"/>
    <col min="14" max="14" width="10.88671875" style="161" bestFit="1" customWidth="1"/>
    <col min="15" max="16384" width="9.109375" style="161"/>
  </cols>
  <sheetData>
    <row r="1" spans="1:14" x14ac:dyDescent="0.3">
      <c r="A1" s="335" t="s">
        <v>523</v>
      </c>
      <c r="B1" s="161" t="s">
        <v>524</v>
      </c>
      <c r="J1" s="335" t="s">
        <v>528</v>
      </c>
      <c r="K1" s="163">
        <v>81</v>
      </c>
      <c r="M1" s="335" t="s">
        <v>531</v>
      </c>
      <c r="N1" s="336">
        <f>E18+N22+I38+J46+I50</f>
        <v>306.67360362191266</v>
      </c>
    </row>
    <row r="2" spans="1:14" x14ac:dyDescent="0.3">
      <c r="A2" s="335" t="s">
        <v>532</v>
      </c>
      <c r="B2" s="161" t="s">
        <v>780</v>
      </c>
      <c r="M2" s="335" t="s">
        <v>533</v>
      </c>
      <c r="N2" s="165">
        <v>1</v>
      </c>
    </row>
    <row r="3" spans="1:14" x14ac:dyDescent="0.3">
      <c r="A3" s="335" t="s">
        <v>534</v>
      </c>
      <c r="B3" s="161" t="s">
        <v>802</v>
      </c>
      <c r="J3" s="335" t="s">
        <v>536</v>
      </c>
    </row>
    <row r="4" spans="1:14" x14ac:dyDescent="0.3">
      <c r="A4" s="335" t="s">
        <v>537</v>
      </c>
      <c r="B4" s="166" t="s">
        <v>80</v>
      </c>
      <c r="J4" s="335" t="s">
        <v>538</v>
      </c>
      <c r="M4" s="335" t="s">
        <v>539</v>
      </c>
      <c r="N4" s="336">
        <f>N1*N2</f>
        <v>306.67360362191266</v>
      </c>
    </row>
    <row r="5" spans="1:14" x14ac:dyDescent="0.3">
      <c r="A5" s="335" t="s">
        <v>540</v>
      </c>
      <c r="B5" s="161" t="s">
        <v>36</v>
      </c>
      <c r="J5" s="335" t="s">
        <v>541</v>
      </c>
    </row>
    <row r="6" spans="1:14" x14ac:dyDescent="0.3">
      <c r="A6" s="335" t="s">
        <v>542</v>
      </c>
      <c r="B6" s="334"/>
    </row>
    <row r="8" spans="1:14" x14ac:dyDescent="0.3">
      <c r="A8" s="324" t="s">
        <v>544</v>
      </c>
      <c r="B8" s="324" t="s">
        <v>545</v>
      </c>
      <c r="C8" s="324" t="s">
        <v>546</v>
      </c>
      <c r="D8" s="324" t="s">
        <v>28</v>
      </c>
      <c r="E8" s="324" t="s">
        <v>547</v>
      </c>
    </row>
    <row r="9" spans="1:14" x14ac:dyDescent="0.3">
      <c r="A9" s="168">
        <v>10</v>
      </c>
      <c r="B9" s="161" t="s">
        <v>83</v>
      </c>
      <c r="C9" s="323">
        <f>'EN 02001'!N1</f>
        <v>4.8586258624449092</v>
      </c>
      <c r="D9" s="161">
        <v>4</v>
      </c>
      <c r="E9" s="322">
        <f t="shared" ref="E9:E17" si="0">C9*D9</f>
        <v>19.434503449779637</v>
      </c>
    </row>
    <row r="10" spans="1:14" x14ac:dyDescent="0.3">
      <c r="A10" s="168">
        <v>20</v>
      </c>
      <c r="B10" s="168" t="s">
        <v>803</v>
      </c>
      <c r="C10" s="323">
        <f>'EN 02002'!N1</f>
        <v>1.7349999999999999</v>
      </c>
      <c r="D10" s="215">
        <v>4</v>
      </c>
      <c r="E10" s="322">
        <f t="shared" si="0"/>
        <v>6.9399999999999995</v>
      </c>
    </row>
    <row r="11" spans="1:14" x14ac:dyDescent="0.3">
      <c r="A11" s="168">
        <v>30</v>
      </c>
      <c r="B11" s="168" t="s">
        <v>804</v>
      </c>
      <c r="C11" s="323">
        <f>'EN 02003'!N4</f>
        <v>76.747519999999994</v>
      </c>
      <c r="D11" s="215">
        <v>1</v>
      </c>
      <c r="E11" s="322">
        <f t="shared" si="0"/>
        <v>76.747519999999994</v>
      </c>
    </row>
    <row r="12" spans="1:14" x14ac:dyDescent="0.3">
      <c r="A12" s="168">
        <v>40</v>
      </c>
      <c r="B12" s="161" t="s">
        <v>805</v>
      </c>
      <c r="C12" s="323">
        <f>'EN 02004'!N4</f>
        <v>77.007181333333335</v>
      </c>
      <c r="D12" s="215">
        <v>1</v>
      </c>
      <c r="E12" s="322">
        <f t="shared" si="0"/>
        <v>77.007181333333335</v>
      </c>
    </row>
    <row r="13" spans="1:14" x14ac:dyDescent="0.3">
      <c r="A13" s="168">
        <v>50</v>
      </c>
      <c r="B13" s="168" t="s">
        <v>806</v>
      </c>
      <c r="C13" s="323">
        <f>'EN 02005'!N1</f>
        <v>45.102123333333331</v>
      </c>
      <c r="D13" s="215">
        <v>1</v>
      </c>
      <c r="E13" s="322">
        <f t="shared" si="0"/>
        <v>45.102123333333331</v>
      </c>
    </row>
    <row r="14" spans="1:14" x14ac:dyDescent="0.3">
      <c r="A14" s="168">
        <v>60</v>
      </c>
      <c r="B14" s="168" t="s">
        <v>89</v>
      </c>
      <c r="C14" s="323">
        <f>'EN 02006'!N4</f>
        <v>41.004999999999995</v>
      </c>
      <c r="D14" s="215">
        <v>1</v>
      </c>
      <c r="E14" s="322">
        <f t="shared" si="0"/>
        <v>41.004999999999995</v>
      </c>
    </row>
    <row r="15" spans="1:14" x14ac:dyDescent="0.3">
      <c r="A15" s="168">
        <v>70</v>
      </c>
      <c r="B15" s="168" t="s">
        <v>807</v>
      </c>
      <c r="C15" s="323">
        <f>'EN 02007'!N4</f>
        <v>10.655999999999999</v>
      </c>
      <c r="D15" s="215">
        <v>1</v>
      </c>
      <c r="E15" s="322">
        <f t="shared" si="0"/>
        <v>10.655999999999999</v>
      </c>
    </row>
    <row r="16" spans="1:14" x14ac:dyDescent="0.3">
      <c r="A16" s="168">
        <v>80</v>
      </c>
      <c r="B16" s="168" t="s">
        <v>78</v>
      </c>
      <c r="C16" s="323">
        <f>'EN 02008'!N4</f>
        <v>1.4572121721330547</v>
      </c>
      <c r="D16" s="215">
        <v>1</v>
      </c>
      <c r="E16" s="322">
        <f t="shared" si="0"/>
        <v>1.4572121721330547</v>
      </c>
    </row>
    <row r="17" spans="1:14" x14ac:dyDescent="0.3">
      <c r="A17" s="168">
        <v>90</v>
      </c>
      <c r="B17" s="346" t="s">
        <v>808</v>
      </c>
      <c r="C17" s="323">
        <f>'EN 02009'!N4</f>
        <v>3.8607300000000002</v>
      </c>
      <c r="D17" s="215">
        <v>1</v>
      </c>
      <c r="E17" s="322">
        <f t="shared" si="0"/>
        <v>3.8607300000000002</v>
      </c>
    </row>
    <row r="18" spans="1:14" x14ac:dyDescent="0.3">
      <c r="D18" s="321" t="s">
        <v>547</v>
      </c>
      <c r="E18" s="320">
        <f>SUM(E9:E17)</f>
        <v>282.21027028857935</v>
      </c>
    </row>
    <row r="20" spans="1:14" x14ac:dyDescent="0.3">
      <c r="A20" s="324" t="s">
        <v>544</v>
      </c>
      <c r="B20" s="324" t="s">
        <v>581</v>
      </c>
      <c r="C20" s="324" t="s">
        <v>549</v>
      </c>
      <c r="D20" s="324" t="s">
        <v>550</v>
      </c>
      <c r="E20" s="324" t="s">
        <v>567</v>
      </c>
      <c r="F20" s="324" t="s">
        <v>568</v>
      </c>
      <c r="G20" s="324" t="s">
        <v>569</v>
      </c>
      <c r="H20" s="324" t="s">
        <v>570</v>
      </c>
      <c r="I20" s="324" t="s">
        <v>582</v>
      </c>
      <c r="J20" s="324" t="s">
        <v>583</v>
      </c>
      <c r="K20" s="324" t="s">
        <v>584</v>
      </c>
      <c r="L20" s="324" t="s">
        <v>585</v>
      </c>
      <c r="M20" s="324" t="s">
        <v>28</v>
      </c>
      <c r="N20" s="324" t="s">
        <v>547</v>
      </c>
    </row>
    <row r="21" spans="1:14" x14ac:dyDescent="0.3">
      <c r="A21" s="168">
        <v>10</v>
      </c>
      <c r="B21" s="168" t="s">
        <v>809</v>
      </c>
      <c r="C21" s="168"/>
      <c r="D21" s="323">
        <v>1</v>
      </c>
      <c r="E21" s="168"/>
      <c r="F21" s="168"/>
      <c r="G21" s="168"/>
      <c r="H21" s="219"/>
      <c r="I21" s="220"/>
      <c r="J21" s="221"/>
      <c r="K21" s="219"/>
      <c r="L21" s="219"/>
      <c r="M21" s="339">
        <v>5</v>
      </c>
      <c r="N21" s="322">
        <f>IF(J21="",D21*M21,D21*J21*K21*L21*M21)</f>
        <v>5</v>
      </c>
    </row>
    <row r="22" spans="1:14" s="178" customFormat="1" x14ac:dyDescent="0.3">
      <c r="M22" s="347" t="s">
        <v>547</v>
      </c>
      <c r="N22" s="320">
        <f>SUM(N21:N21)</f>
        <v>5</v>
      </c>
    </row>
    <row r="24" spans="1:14" s="178" customFormat="1" x14ac:dyDescent="0.3">
      <c r="A24" s="324" t="s">
        <v>544</v>
      </c>
      <c r="B24" s="324" t="s">
        <v>548</v>
      </c>
      <c r="C24" s="324" t="s">
        <v>549</v>
      </c>
      <c r="D24" s="324" t="s">
        <v>550</v>
      </c>
      <c r="E24" s="324" t="s">
        <v>551</v>
      </c>
      <c r="F24" s="324" t="s">
        <v>28</v>
      </c>
      <c r="G24" s="324" t="s">
        <v>552</v>
      </c>
      <c r="H24" s="324" t="s">
        <v>553</v>
      </c>
      <c r="I24" s="324" t="s">
        <v>547</v>
      </c>
    </row>
    <row r="25" spans="1:14" x14ac:dyDescent="0.3">
      <c r="A25" s="168">
        <v>10</v>
      </c>
      <c r="B25" s="180" t="s">
        <v>650</v>
      </c>
      <c r="C25" s="168" t="s">
        <v>810</v>
      </c>
      <c r="D25" s="323">
        <v>0.15</v>
      </c>
      <c r="E25" s="168" t="s">
        <v>593</v>
      </c>
      <c r="F25" s="168">
        <v>40</v>
      </c>
      <c r="G25" s="168"/>
      <c r="H25" s="168"/>
      <c r="I25" s="323">
        <f t="shared" ref="I25:I37" si="1">F25*D25</f>
        <v>6</v>
      </c>
    </row>
    <row r="26" spans="1:14" x14ac:dyDescent="0.3">
      <c r="A26" s="168">
        <v>20</v>
      </c>
      <c r="B26" s="180" t="s">
        <v>557</v>
      </c>
      <c r="C26" s="168" t="s">
        <v>811</v>
      </c>
      <c r="D26" s="323">
        <v>0.06</v>
      </c>
      <c r="E26" s="168" t="s">
        <v>556</v>
      </c>
      <c r="F26" s="168">
        <v>4</v>
      </c>
      <c r="G26" s="168"/>
      <c r="H26" s="168"/>
      <c r="I26" s="323">
        <f t="shared" si="1"/>
        <v>0.24</v>
      </c>
    </row>
    <row r="27" spans="1:14" x14ac:dyDescent="0.3">
      <c r="A27" s="168">
        <v>30</v>
      </c>
      <c r="B27" s="180" t="s">
        <v>749</v>
      </c>
      <c r="C27" s="171" t="s">
        <v>812</v>
      </c>
      <c r="D27" s="323">
        <v>0.19</v>
      </c>
      <c r="E27" s="168" t="s">
        <v>556</v>
      </c>
      <c r="F27" s="168">
        <v>4</v>
      </c>
      <c r="G27" s="168"/>
      <c r="H27" s="168"/>
      <c r="I27" s="323">
        <f t="shared" si="1"/>
        <v>0.76</v>
      </c>
    </row>
    <row r="28" spans="1:14" x14ac:dyDescent="0.3">
      <c r="A28" s="168">
        <v>40</v>
      </c>
      <c r="B28" s="180" t="s">
        <v>760</v>
      </c>
      <c r="C28" s="171" t="s">
        <v>813</v>
      </c>
      <c r="D28" s="323">
        <v>0.38</v>
      </c>
      <c r="E28" s="168" t="s">
        <v>556</v>
      </c>
      <c r="F28" s="168">
        <v>1</v>
      </c>
      <c r="G28" s="168"/>
      <c r="H28" s="168"/>
      <c r="I28" s="323">
        <f t="shared" si="1"/>
        <v>0.38</v>
      </c>
    </row>
    <row r="29" spans="1:14" x14ac:dyDescent="0.3">
      <c r="A29" s="168">
        <v>50</v>
      </c>
      <c r="B29" s="180" t="s">
        <v>760</v>
      </c>
      <c r="C29" s="161" t="s">
        <v>814</v>
      </c>
      <c r="D29" s="323">
        <v>0.19</v>
      </c>
      <c r="E29" s="168" t="s">
        <v>556</v>
      </c>
      <c r="F29" s="168">
        <v>2</v>
      </c>
      <c r="G29" s="168"/>
      <c r="H29" s="168"/>
      <c r="I29" s="323">
        <f t="shared" si="1"/>
        <v>0.38</v>
      </c>
    </row>
    <row r="30" spans="1:14" x14ac:dyDescent="0.3">
      <c r="A30" s="168">
        <v>60</v>
      </c>
      <c r="B30" s="348" t="s">
        <v>559</v>
      </c>
      <c r="C30" s="171" t="s">
        <v>815</v>
      </c>
      <c r="D30" s="323">
        <v>0.75</v>
      </c>
      <c r="E30" s="168" t="s">
        <v>556</v>
      </c>
      <c r="F30" s="168">
        <v>8</v>
      </c>
      <c r="G30" s="168"/>
      <c r="H30" s="168"/>
      <c r="I30" s="323">
        <f t="shared" si="1"/>
        <v>6</v>
      </c>
    </row>
    <row r="31" spans="1:14" x14ac:dyDescent="0.3">
      <c r="A31" s="168">
        <v>70</v>
      </c>
      <c r="B31" s="180" t="s">
        <v>816</v>
      </c>
      <c r="C31" s="171" t="s">
        <v>89</v>
      </c>
      <c r="D31" s="323">
        <v>0.38</v>
      </c>
      <c r="E31" s="168" t="s">
        <v>556</v>
      </c>
      <c r="F31" s="168">
        <v>1</v>
      </c>
      <c r="G31" s="168"/>
      <c r="H31" s="168"/>
      <c r="I31" s="323">
        <f t="shared" si="1"/>
        <v>0.38</v>
      </c>
    </row>
    <row r="32" spans="1:14" x14ac:dyDescent="0.3">
      <c r="A32" s="168">
        <v>80</v>
      </c>
      <c r="B32" s="349" t="s">
        <v>557</v>
      </c>
      <c r="C32" s="171" t="s">
        <v>808</v>
      </c>
      <c r="D32" s="323">
        <v>0.06</v>
      </c>
      <c r="E32" s="168" t="s">
        <v>556</v>
      </c>
      <c r="F32" s="168">
        <v>1</v>
      </c>
      <c r="G32" s="168"/>
      <c r="H32" s="168"/>
      <c r="I32" s="323">
        <f t="shared" si="1"/>
        <v>0.06</v>
      </c>
    </row>
    <row r="33" spans="1:10" x14ac:dyDescent="0.3">
      <c r="A33" s="168">
        <v>90</v>
      </c>
      <c r="B33" s="171" t="s">
        <v>659</v>
      </c>
      <c r="C33" s="171" t="s">
        <v>817</v>
      </c>
      <c r="D33" s="323">
        <v>0.5</v>
      </c>
      <c r="E33" s="168" t="s">
        <v>556</v>
      </c>
      <c r="F33" s="168">
        <v>2</v>
      </c>
      <c r="G33" s="168"/>
      <c r="H33" s="168"/>
      <c r="I33" s="323">
        <f t="shared" si="1"/>
        <v>1</v>
      </c>
    </row>
    <row r="34" spans="1:10" x14ac:dyDescent="0.3">
      <c r="A34" s="168">
        <v>100</v>
      </c>
      <c r="B34" s="350" t="s">
        <v>660</v>
      </c>
      <c r="C34" s="171" t="s">
        <v>818</v>
      </c>
      <c r="D34" s="323">
        <v>0.25</v>
      </c>
      <c r="E34" s="168" t="s">
        <v>556</v>
      </c>
      <c r="F34" s="168">
        <v>2</v>
      </c>
      <c r="G34" s="168"/>
      <c r="H34" s="168"/>
      <c r="I34" s="323">
        <f t="shared" si="1"/>
        <v>0.5</v>
      </c>
    </row>
    <row r="35" spans="1:10" x14ac:dyDescent="0.3">
      <c r="A35" s="168">
        <v>110</v>
      </c>
      <c r="B35" s="171" t="s">
        <v>760</v>
      </c>
      <c r="C35" s="171" t="s">
        <v>452</v>
      </c>
      <c r="D35" s="323">
        <v>0.19</v>
      </c>
      <c r="E35" s="168" t="s">
        <v>556</v>
      </c>
      <c r="F35" s="168">
        <v>5</v>
      </c>
      <c r="G35" s="168"/>
      <c r="H35" s="168"/>
      <c r="I35" s="323">
        <f t="shared" si="1"/>
        <v>0.95</v>
      </c>
    </row>
    <row r="36" spans="1:10" x14ac:dyDescent="0.3">
      <c r="A36" s="168">
        <v>120</v>
      </c>
      <c r="B36" s="330" t="s">
        <v>749</v>
      </c>
      <c r="C36" s="184" t="s">
        <v>819</v>
      </c>
      <c r="D36" s="323">
        <v>0.19</v>
      </c>
      <c r="E36" s="168" t="s">
        <v>556</v>
      </c>
      <c r="F36" s="168">
        <v>1</v>
      </c>
      <c r="G36" s="168"/>
      <c r="H36" s="168"/>
      <c r="I36" s="323">
        <f t="shared" si="1"/>
        <v>0.19</v>
      </c>
    </row>
    <row r="37" spans="1:10" s="178" customFormat="1" x14ac:dyDescent="0.3">
      <c r="A37" s="168">
        <v>130</v>
      </c>
      <c r="B37" s="180" t="s">
        <v>559</v>
      </c>
      <c r="C37" s="171" t="s">
        <v>820</v>
      </c>
      <c r="D37" s="323">
        <v>0.75</v>
      </c>
      <c r="E37" s="168" t="s">
        <v>556</v>
      </c>
      <c r="F37" s="168">
        <v>1</v>
      </c>
      <c r="G37" s="351"/>
      <c r="H37" s="351"/>
      <c r="I37" s="323">
        <f t="shared" si="1"/>
        <v>0.75</v>
      </c>
    </row>
    <row r="38" spans="1:10" s="178" customFormat="1" x14ac:dyDescent="0.3">
      <c r="A38" s="161"/>
      <c r="B38" s="289"/>
      <c r="C38" s="352"/>
      <c r="D38" s="353"/>
      <c r="E38" s="161"/>
      <c r="F38" s="161"/>
      <c r="H38" s="321" t="s">
        <v>547</v>
      </c>
      <c r="I38" s="320">
        <f>SUM(I25:I37)</f>
        <v>17.590000000000003</v>
      </c>
    </row>
    <row r="39" spans="1:10" x14ac:dyDescent="0.3">
      <c r="A39" s="178"/>
      <c r="B39" s="178"/>
      <c r="C39" s="178"/>
      <c r="D39" s="178"/>
      <c r="E39" s="178"/>
      <c r="F39" s="178"/>
    </row>
    <row r="40" spans="1:10" x14ac:dyDescent="0.3">
      <c r="A40" s="324" t="s">
        <v>544</v>
      </c>
      <c r="B40" s="324" t="s">
        <v>566</v>
      </c>
      <c r="C40" s="324" t="s">
        <v>549</v>
      </c>
      <c r="D40" s="324" t="s">
        <v>550</v>
      </c>
      <c r="E40" s="324" t="s">
        <v>567</v>
      </c>
      <c r="F40" s="324" t="s">
        <v>568</v>
      </c>
      <c r="G40" s="324" t="s">
        <v>569</v>
      </c>
      <c r="H40" s="324" t="s">
        <v>570</v>
      </c>
      <c r="I40" s="324" t="s">
        <v>28</v>
      </c>
      <c r="J40" s="324" t="s">
        <v>547</v>
      </c>
    </row>
    <row r="41" spans="1:10" x14ac:dyDescent="0.3">
      <c r="A41" s="168">
        <v>10</v>
      </c>
      <c r="B41" s="355" t="s">
        <v>618</v>
      </c>
      <c r="C41" s="168" t="s">
        <v>821</v>
      </c>
      <c r="D41" s="323">
        <v>0.04</v>
      </c>
      <c r="E41" s="168">
        <v>8</v>
      </c>
      <c r="F41" s="168" t="s">
        <v>573</v>
      </c>
      <c r="G41" s="168"/>
      <c r="H41" s="168"/>
      <c r="I41" s="168">
        <v>8</v>
      </c>
      <c r="J41" s="323">
        <f>D41*I41</f>
        <v>0.32</v>
      </c>
    </row>
    <row r="42" spans="1:10" x14ac:dyDescent="0.3">
      <c r="A42" s="168">
        <v>20</v>
      </c>
      <c r="B42" s="168" t="s">
        <v>574</v>
      </c>
      <c r="C42" s="168" t="s">
        <v>822</v>
      </c>
      <c r="D42" s="323">
        <v>0.01</v>
      </c>
      <c r="E42" s="168">
        <v>8</v>
      </c>
      <c r="F42" s="168" t="s">
        <v>573</v>
      </c>
      <c r="G42" s="168"/>
      <c r="H42" s="219"/>
      <c r="I42" s="168">
        <v>2</v>
      </c>
      <c r="J42" s="323">
        <f>D42*I42</f>
        <v>0.02</v>
      </c>
    </row>
    <row r="43" spans="1:10" x14ac:dyDescent="0.3">
      <c r="A43" s="168">
        <v>30</v>
      </c>
      <c r="B43" s="225" t="s">
        <v>684</v>
      </c>
      <c r="C43" s="168" t="s">
        <v>823</v>
      </c>
      <c r="D43" s="323">
        <v>0.1</v>
      </c>
      <c r="E43" s="168">
        <v>8</v>
      </c>
      <c r="F43" s="168" t="s">
        <v>573</v>
      </c>
      <c r="G43" s="245">
        <v>25</v>
      </c>
      <c r="H43" s="168" t="s">
        <v>573</v>
      </c>
      <c r="I43" s="168">
        <v>1</v>
      </c>
      <c r="J43" s="323">
        <f>D43*I43</f>
        <v>0.1</v>
      </c>
    </row>
    <row r="44" spans="1:10" x14ac:dyDescent="0.3">
      <c r="A44" s="168">
        <v>40</v>
      </c>
      <c r="B44" s="356" t="s">
        <v>618</v>
      </c>
      <c r="C44" s="168" t="s">
        <v>824</v>
      </c>
      <c r="D44" s="323">
        <v>0.02</v>
      </c>
      <c r="E44" s="168">
        <v>5</v>
      </c>
      <c r="F44" s="189" t="s">
        <v>573</v>
      </c>
      <c r="G44" s="168"/>
      <c r="H44" s="171"/>
      <c r="I44" s="188">
        <v>2</v>
      </c>
      <c r="J44" s="323">
        <f>D44*I44</f>
        <v>0.04</v>
      </c>
    </row>
    <row r="45" spans="1:10" s="178" customFormat="1" x14ac:dyDescent="0.3">
      <c r="A45" s="168">
        <v>50</v>
      </c>
      <c r="B45" s="225" t="s">
        <v>684</v>
      </c>
      <c r="C45" s="168" t="s">
        <v>825</v>
      </c>
      <c r="D45" s="323">
        <v>0.03</v>
      </c>
      <c r="E45" s="168">
        <v>5</v>
      </c>
      <c r="F45" s="189" t="s">
        <v>573</v>
      </c>
      <c r="G45" s="168">
        <v>20</v>
      </c>
      <c r="H45" s="171" t="s">
        <v>573</v>
      </c>
      <c r="I45" s="188">
        <v>2</v>
      </c>
      <c r="J45" s="323">
        <f>D45*I45</f>
        <v>0.06</v>
      </c>
    </row>
    <row r="46" spans="1:10" x14ac:dyDescent="0.3">
      <c r="A46" s="178"/>
      <c r="B46" s="178"/>
      <c r="C46" s="178"/>
      <c r="D46" s="178"/>
      <c r="E46" s="178"/>
      <c r="F46" s="178"/>
      <c r="G46" s="178"/>
      <c r="H46" s="178"/>
      <c r="I46" s="321" t="s">
        <v>547</v>
      </c>
      <c r="J46" s="320">
        <f>SUM(J41:J45)</f>
        <v>0.54</v>
      </c>
    </row>
    <row r="47" spans="1:10" s="178" customFormat="1" x14ac:dyDescent="0.3">
      <c r="A47" s="161"/>
      <c r="B47" s="161"/>
      <c r="C47" s="161"/>
      <c r="D47" s="161"/>
      <c r="E47" s="161"/>
      <c r="F47" s="161"/>
    </row>
    <row r="48" spans="1:10" x14ac:dyDescent="0.3">
      <c r="A48" s="324" t="s">
        <v>544</v>
      </c>
      <c r="B48" s="324" t="s">
        <v>6</v>
      </c>
      <c r="C48" s="324" t="s">
        <v>549</v>
      </c>
      <c r="D48" s="324" t="s">
        <v>550</v>
      </c>
      <c r="E48" s="324" t="s">
        <v>551</v>
      </c>
      <c r="F48" s="324" t="s">
        <v>28</v>
      </c>
      <c r="G48" s="324" t="s">
        <v>691</v>
      </c>
      <c r="H48" s="324" t="s">
        <v>736</v>
      </c>
      <c r="I48" s="324" t="s">
        <v>547</v>
      </c>
    </row>
    <row r="49" spans="1:9" s="178" customFormat="1" x14ac:dyDescent="0.3">
      <c r="A49" s="168">
        <v>10</v>
      </c>
      <c r="B49" s="168" t="s">
        <v>693</v>
      </c>
      <c r="C49" s="168"/>
      <c r="D49" s="323">
        <v>500</v>
      </c>
      <c r="E49" s="168" t="s">
        <v>695</v>
      </c>
      <c r="F49" s="168">
        <v>8</v>
      </c>
      <c r="G49" s="168">
        <v>3000</v>
      </c>
      <c r="H49" s="168">
        <v>1</v>
      </c>
      <c r="I49" s="322">
        <f>D49*F49/G49*H49</f>
        <v>1.3333333333333333</v>
      </c>
    </row>
    <row r="50" spans="1:9" x14ac:dyDescent="0.3">
      <c r="A50" s="178"/>
      <c r="B50" s="178"/>
      <c r="C50" s="178"/>
      <c r="D50" s="178"/>
      <c r="E50" s="178"/>
      <c r="F50" s="178"/>
      <c r="G50" s="178"/>
      <c r="H50" s="321" t="s">
        <v>547</v>
      </c>
      <c r="I50" s="320">
        <f>SUM(I49:I49)</f>
        <v>1.3333333333333333</v>
      </c>
    </row>
  </sheetData>
  <pageMargins left="0.5" right="0.5" top="0.75" bottom="0.75" header="0.3" footer="0.3"/>
  <pageSetup paperSize="9" scale="65" orientation="landscape" r:id="rId1"/>
</worksheet>
</file>

<file path=xl/worksheets/sheet3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-0.499984740745262"/>
    <pageSetUpPr fitToPage="1"/>
  </sheetPr>
  <dimension ref="A1:N27"/>
  <sheetViews>
    <sheetView showGridLines="0" workbookViewId="0"/>
  </sheetViews>
  <sheetFormatPr defaultColWidth="9.109375" defaultRowHeight="14.4" x14ac:dyDescent="0.3"/>
  <cols>
    <col min="1" max="1" width="10.5546875" style="161" bestFit="1" customWidth="1"/>
    <col min="2" max="2" width="25.554687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3.886718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4" x14ac:dyDescent="0.3">
      <c r="A1" s="943" t="s">
        <v>523</v>
      </c>
      <c r="B1" s="161" t="s">
        <v>524</v>
      </c>
      <c r="J1" s="943" t="s">
        <v>528</v>
      </c>
      <c r="K1" s="163">
        <v>81</v>
      </c>
      <c r="M1" s="943" t="s">
        <v>531</v>
      </c>
      <c r="N1" s="336">
        <f>E12+N16+I22+J26</f>
        <v>377.45343925000003</v>
      </c>
    </row>
    <row r="2" spans="1:14" x14ac:dyDescent="0.3">
      <c r="A2" s="943" t="s">
        <v>532</v>
      </c>
      <c r="B2" s="161" t="s">
        <v>2895</v>
      </c>
      <c r="M2" s="943" t="s">
        <v>533</v>
      </c>
      <c r="N2" s="165">
        <v>2</v>
      </c>
    </row>
    <row r="3" spans="1:14" x14ac:dyDescent="0.3">
      <c r="A3" s="943" t="s">
        <v>534</v>
      </c>
      <c r="B3" s="161" t="s">
        <v>512</v>
      </c>
      <c r="J3" s="943" t="s">
        <v>536</v>
      </c>
    </row>
    <row r="4" spans="1:14" x14ac:dyDescent="0.3">
      <c r="A4" s="943" t="s">
        <v>537</v>
      </c>
      <c r="B4" s="166" t="s">
        <v>511</v>
      </c>
      <c r="J4" s="943" t="s">
        <v>538</v>
      </c>
      <c r="M4" s="943" t="s">
        <v>539</v>
      </c>
      <c r="N4" s="336">
        <f>N1*N2</f>
        <v>754.90687850000006</v>
      </c>
    </row>
    <row r="5" spans="1:14" x14ac:dyDescent="0.3">
      <c r="A5" s="943" t="s">
        <v>540</v>
      </c>
      <c r="B5" s="161" t="s">
        <v>36</v>
      </c>
      <c r="J5" s="943" t="s">
        <v>541</v>
      </c>
    </row>
    <row r="6" spans="1:14" x14ac:dyDescent="0.3">
      <c r="A6" s="943" t="s">
        <v>542</v>
      </c>
      <c r="B6" s="334"/>
    </row>
    <row r="8" spans="1:14" x14ac:dyDescent="0.3">
      <c r="A8" s="944" t="s">
        <v>544</v>
      </c>
      <c r="B8" s="944" t="s">
        <v>545</v>
      </c>
      <c r="C8" s="944" t="s">
        <v>546</v>
      </c>
      <c r="D8" s="944" t="s">
        <v>28</v>
      </c>
      <c r="E8" s="944" t="s">
        <v>547</v>
      </c>
    </row>
    <row r="9" spans="1:14" x14ac:dyDescent="0.3">
      <c r="A9" s="168">
        <v>10</v>
      </c>
      <c r="B9" s="168" t="s">
        <v>514</v>
      </c>
      <c r="C9" s="323">
        <f>'WT 02001'!N1</f>
        <v>91.313579720000007</v>
      </c>
      <c r="D9" s="171">
        <v>1</v>
      </c>
      <c r="E9" s="322">
        <f>C9*D9</f>
        <v>91.313579720000007</v>
      </c>
    </row>
    <row r="10" spans="1:14" x14ac:dyDescent="0.3">
      <c r="A10" s="168">
        <v>20</v>
      </c>
      <c r="B10" s="168" t="s">
        <v>516</v>
      </c>
      <c r="C10" s="323">
        <f>'WT 02002'!N1</f>
        <v>122.59</v>
      </c>
      <c r="D10" s="171">
        <v>2</v>
      </c>
      <c r="E10" s="322">
        <f>C10*D10</f>
        <v>245.18</v>
      </c>
    </row>
    <row r="11" spans="1:14" x14ac:dyDescent="0.3">
      <c r="A11" s="168">
        <v>30</v>
      </c>
      <c r="B11" s="168" t="s">
        <v>2914</v>
      </c>
      <c r="C11" s="323">
        <f>'WT 02003'!N1</f>
        <v>6.0798595299999993</v>
      </c>
      <c r="D11" s="171">
        <v>1</v>
      </c>
      <c r="E11" s="322">
        <f>C11*D11</f>
        <v>6.0798595299999993</v>
      </c>
    </row>
    <row r="12" spans="1:14" x14ac:dyDescent="0.3">
      <c r="D12" s="946" t="s">
        <v>547</v>
      </c>
      <c r="E12" s="947">
        <f>SUM(E9:E11)</f>
        <v>342.57343925000004</v>
      </c>
    </row>
    <row r="14" spans="1:14" x14ac:dyDescent="0.3">
      <c r="A14" s="944" t="s">
        <v>544</v>
      </c>
      <c r="B14" s="944" t="s">
        <v>581</v>
      </c>
      <c r="C14" s="944" t="s">
        <v>549</v>
      </c>
      <c r="D14" s="944" t="s">
        <v>550</v>
      </c>
      <c r="E14" s="944" t="s">
        <v>567</v>
      </c>
      <c r="F14" s="944" t="s">
        <v>568</v>
      </c>
      <c r="G14" s="944" t="s">
        <v>569</v>
      </c>
      <c r="H14" s="944" t="s">
        <v>570</v>
      </c>
      <c r="I14" s="944" t="s">
        <v>582</v>
      </c>
      <c r="J14" s="944" t="s">
        <v>583</v>
      </c>
      <c r="K14" s="944" t="s">
        <v>584</v>
      </c>
      <c r="L14" s="944" t="s">
        <v>585</v>
      </c>
      <c r="M14" s="944" t="s">
        <v>28</v>
      </c>
      <c r="N14" s="944" t="s">
        <v>547</v>
      </c>
    </row>
    <row r="15" spans="1:14" x14ac:dyDescent="0.3">
      <c r="A15" s="168">
        <v>10</v>
      </c>
      <c r="B15" s="225" t="s">
        <v>2915</v>
      </c>
      <c r="C15" s="168" t="s">
        <v>2916</v>
      </c>
      <c r="D15" s="323">
        <v>9.1300000000000008</v>
      </c>
      <c r="E15" s="168">
        <v>60</v>
      </c>
      <c r="F15" s="168" t="s">
        <v>573</v>
      </c>
      <c r="G15" s="168"/>
      <c r="H15" s="219"/>
      <c r="I15" s="220"/>
      <c r="J15" s="221"/>
      <c r="K15" s="219"/>
      <c r="L15" s="219"/>
      <c r="M15" s="222">
        <v>2</v>
      </c>
      <c r="N15" s="322">
        <f>IF(J15="",D15*M15,D15*J15*K15*L15*M15)</f>
        <v>18.260000000000002</v>
      </c>
    </row>
    <row r="16" spans="1:14" s="178" customFormat="1" x14ac:dyDescent="0.3">
      <c r="M16" s="946" t="s">
        <v>547</v>
      </c>
      <c r="N16" s="947">
        <f>SUM(N15:N15)</f>
        <v>18.260000000000002</v>
      </c>
    </row>
    <row r="18" spans="1:10" s="178" customFormat="1" x14ac:dyDescent="0.3">
      <c r="A18" s="944" t="s">
        <v>544</v>
      </c>
      <c r="B18" s="944" t="s">
        <v>548</v>
      </c>
      <c r="C18" s="944" t="s">
        <v>549</v>
      </c>
      <c r="D18" s="944" t="s">
        <v>550</v>
      </c>
      <c r="E18" s="944" t="s">
        <v>551</v>
      </c>
      <c r="F18" s="944" t="s">
        <v>28</v>
      </c>
      <c r="G18" s="944" t="s">
        <v>552</v>
      </c>
      <c r="H18" s="944" t="s">
        <v>553</v>
      </c>
      <c r="I18" s="944" t="s">
        <v>547</v>
      </c>
    </row>
    <row r="19" spans="1:10" x14ac:dyDescent="0.3">
      <c r="A19" s="168">
        <v>10</v>
      </c>
      <c r="B19" s="180" t="s">
        <v>760</v>
      </c>
      <c r="C19" s="171" t="s">
        <v>2917</v>
      </c>
      <c r="D19" s="323">
        <v>0.19</v>
      </c>
      <c r="E19" s="168" t="s">
        <v>551</v>
      </c>
      <c r="F19" s="168">
        <v>4</v>
      </c>
      <c r="G19" s="168"/>
      <c r="H19" s="168">
        <v>1</v>
      </c>
      <c r="I19" s="323">
        <f>D19*F19*H19</f>
        <v>0.76</v>
      </c>
    </row>
    <row r="20" spans="1:10" x14ac:dyDescent="0.3">
      <c r="A20" s="168">
        <v>20</v>
      </c>
      <c r="B20" s="349" t="s">
        <v>760</v>
      </c>
      <c r="C20" s="171" t="s">
        <v>2918</v>
      </c>
      <c r="D20" s="323">
        <v>0.19</v>
      </c>
      <c r="E20" s="168" t="s">
        <v>551</v>
      </c>
      <c r="F20" s="168">
        <v>2</v>
      </c>
      <c r="G20" s="168"/>
      <c r="H20" s="168"/>
      <c r="I20" s="323">
        <f>F20*D20</f>
        <v>0.38</v>
      </c>
    </row>
    <row r="21" spans="1:10" x14ac:dyDescent="0.3">
      <c r="A21" s="168">
        <v>30</v>
      </c>
      <c r="B21" s="180" t="s">
        <v>2919</v>
      </c>
      <c r="C21" s="184" t="s">
        <v>2920</v>
      </c>
      <c r="D21" s="323">
        <v>2</v>
      </c>
      <c r="E21" s="168" t="s">
        <v>551</v>
      </c>
      <c r="F21" s="168">
        <v>1</v>
      </c>
      <c r="G21" s="168"/>
      <c r="H21" s="168"/>
      <c r="I21" s="323">
        <f>D21*F21</f>
        <v>2</v>
      </c>
    </row>
    <row r="22" spans="1:10" s="178" customFormat="1" x14ac:dyDescent="0.3">
      <c r="H22" s="946" t="s">
        <v>547</v>
      </c>
      <c r="I22" s="947">
        <f>SUM(I19:I21)</f>
        <v>3.14</v>
      </c>
    </row>
    <row r="24" spans="1:10" s="178" customFormat="1" x14ac:dyDescent="0.3">
      <c r="A24" s="944" t="s">
        <v>544</v>
      </c>
      <c r="B24" s="944" t="s">
        <v>566</v>
      </c>
      <c r="C24" s="944" t="s">
        <v>549</v>
      </c>
      <c r="D24" s="944" t="s">
        <v>550</v>
      </c>
      <c r="E24" s="944" t="s">
        <v>567</v>
      </c>
      <c r="F24" s="944" t="s">
        <v>568</v>
      </c>
      <c r="G24" s="944" t="s">
        <v>569</v>
      </c>
      <c r="H24" s="944" t="s">
        <v>570</v>
      </c>
      <c r="I24" s="944" t="s">
        <v>28</v>
      </c>
      <c r="J24" s="944" t="s">
        <v>547</v>
      </c>
    </row>
    <row r="25" spans="1:10" x14ac:dyDescent="0.3">
      <c r="A25" s="168">
        <v>10</v>
      </c>
      <c r="B25" s="225" t="s">
        <v>2921</v>
      </c>
      <c r="C25" s="168" t="s">
        <v>2922</v>
      </c>
      <c r="D25" s="323">
        <v>3.37</v>
      </c>
      <c r="E25" s="168">
        <v>12</v>
      </c>
      <c r="F25" s="245" t="s">
        <v>573</v>
      </c>
      <c r="G25" s="168">
        <v>150</v>
      </c>
      <c r="H25" s="171" t="s">
        <v>573</v>
      </c>
      <c r="I25" s="327">
        <v>4</v>
      </c>
      <c r="J25" s="323">
        <f>D25*I25</f>
        <v>13.48</v>
      </c>
    </row>
    <row r="26" spans="1:10" s="178" customFormat="1" x14ac:dyDescent="0.3">
      <c r="I26" s="946" t="s">
        <v>547</v>
      </c>
      <c r="J26" s="947">
        <f>SUM(J25:J25)</f>
        <v>13.48</v>
      </c>
    </row>
    <row r="27" spans="1:10" x14ac:dyDescent="0.3">
      <c r="H27" s="326"/>
      <c r="I27" s="325"/>
    </row>
  </sheetData>
  <pageMargins left="0.5" right="0.5" top="0.75" bottom="0.75" header="0.3" footer="0.3"/>
  <pageSetup paperSize="9" scale="72" orientation="landscape" r:id="rId1"/>
</worksheet>
</file>

<file path=xl/worksheets/sheet3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39997558519241921"/>
    <pageSetUpPr fitToPage="1"/>
  </sheetPr>
  <dimension ref="A1:O21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6.6640625" style="161" customWidth="1"/>
    <col min="3" max="3" width="20.77734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441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3320312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948" t="s">
        <v>523</v>
      </c>
      <c r="B1" s="161" t="s">
        <v>524</v>
      </c>
      <c r="J1" s="949" t="s">
        <v>528</v>
      </c>
      <c r="K1" s="163">
        <v>81</v>
      </c>
      <c r="M1" s="948" t="s">
        <v>546</v>
      </c>
      <c r="N1" s="336">
        <f>N11+I20</f>
        <v>91.313579720000007</v>
      </c>
    </row>
    <row r="2" spans="1:14" x14ac:dyDescent="0.3">
      <c r="A2" s="948" t="s">
        <v>532</v>
      </c>
      <c r="B2" s="161" t="s">
        <v>2923</v>
      </c>
      <c r="C2" s="359" t="s">
        <v>2633</v>
      </c>
      <c r="D2" s="956" t="s">
        <v>536</v>
      </c>
      <c r="M2" s="948" t="s">
        <v>533</v>
      </c>
      <c r="N2" s="165">
        <v>2</v>
      </c>
    </row>
    <row r="3" spans="1:14" x14ac:dyDescent="0.3">
      <c r="A3" s="948" t="s">
        <v>534</v>
      </c>
      <c r="B3" s="161" t="s">
        <v>512</v>
      </c>
      <c r="D3" s="948" t="s">
        <v>538</v>
      </c>
      <c r="J3" s="948" t="s">
        <v>536</v>
      </c>
    </row>
    <row r="4" spans="1:14" x14ac:dyDescent="0.3">
      <c r="A4" s="948" t="s">
        <v>545</v>
      </c>
      <c r="B4" s="166" t="s">
        <v>2924</v>
      </c>
      <c r="D4" s="948" t="s">
        <v>541</v>
      </c>
      <c r="J4" s="948" t="s">
        <v>538</v>
      </c>
      <c r="M4" s="948" t="s">
        <v>539</v>
      </c>
      <c r="N4" s="336">
        <f>N1*N2</f>
        <v>182.62715944000001</v>
      </c>
    </row>
    <row r="5" spans="1:14" x14ac:dyDescent="0.3">
      <c r="A5" s="948" t="s">
        <v>537</v>
      </c>
      <c r="B5" s="166" t="s">
        <v>513</v>
      </c>
      <c r="J5" s="948" t="s">
        <v>541</v>
      </c>
    </row>
    <row r="6" spans="1:14" x14ac:dyDescent="0.3">
      <c r="A6" s="948" t="s">
        <v>540</v>
      </c>
      <c r="B6" s="161" t="s">
        <v>36</v>
      </c>
    </row>
    <row r="7" spans="1:14" x14ac:dyDescent="0.3">
      <c r="A7" s="948" t="s">
        <v>542</v>
      </c>
      <c r="B7" s="334"/>
    </row>
    <row r="9" spans="1:14" s="178" customFormat="1" x14ac:dyDescent="0.3">
      <c r="A9" s="953" t="s">
        <v>544</v>
      </c>
      <c r="B9" s="953" t="s">
        <v>581</v>
      </c>
      <c r="C9" s="953" t="s">
        <v>549</v>
      </c>
      <c r="D9" s="953" t="s">
        <v>550</v>
      </c>
      <c r="E9" s="953" t="s">
        <v>567</v>
      </c>
      <c r="F9" s="953" t="s">
        <v>568</v>
      </c>
      <c r="G9" s="953" t="s">
        <v>569</v>
      </c>
      <c r="H9" s="953" t="s">
        <v>570</v>
      </c>
      <c r="I9" s="953" t="s">
        <v>582</v>
      </c>
      <c r="J9" s="953" t="s">
        <v>583</v>
      </c>
      <c r="K9" s="953" t="s">
        <v>584</v>
      </c>
      <c r="L9" s="953" t="s">
        <v>585</v>
      </c>
      <c r="M9" s="953" t="s">
        <v>28</v>
      </c>
      <c r="N9" s="953" t="s">
        <v>547</v>
      </c>
    </row>
    <row r="10" spans="1:14" ht="28.8" x14ac:dyDescent="0.3">
      <c r="A10" s="168">
        <v>10</v>
      </c>
      <c r="B10" s="225" t="s">
        <v>2858</v>
      </c>
      <c r="C10" s="168" t="s">
        <v>514</v>
      </c>
      <c r="D10" s="323">
        <v>4.2</v>
      </c>
      <c r="E10" s="316">
        <f>J10*K10*L10</f>
        <v>4.5865666000000012</v>
      </c>
      <c r="F10" s="168" t="s">
        <v>856</v>
      </c>
      <c r="G10" s="168"/>
      <c r="H10" s="219"/>
      <c r="I10" s="269" t="s">
        <v>2925</v>
      </c>
      <c r="J10" s="227">
        <f>3.14*0.07*0.07</f>
        <v>1.5386000000000004E-2</v>
      </c>
      <c r="K10" s="228">
        <v>0.11</v>
      </c>
      <c r="L10" s="219">
        <v>2710</v>
      </c>
      <c r="M10" s="222">
        <v>1</v>
      </c>
      <c r="N10" s="322">
        <f>IF(J10="",D10*M10,D10*J10*K10*L10*M10)</f>
        <v>19.263579720000006</v>
      </c>
    </row>
    <row r="11" spans="1:14" s="178" customFormat="1" x14ac:dyDescent="0.3">
      <c r="M11" s="954" t="s">
        <v>547</v>
      </c>
      <c r="N11" s="955">
        <f>SUM(N10:N10)</f>
        <v>19.263579720000006</v>
      </c>
    </row>
    <row r="13" spans="1:14" s="178" customFormat="1" x14ac:dyDescent="0.3">
      <c r="A13" s="953" t="s">
        <v>544</v>
      </c>
      <c r="B13" s="953" t="s">
        <v>548</v>
      </c>
      <c r="C13" s="953" t="s">
        <v>549</v>
      </c>
      <c r="D13" s="953" t="s">
        <v>550</v>
      </c>
      <c r="E13" s="953" t="s">
        <v>551</v>
      </c>
      <c r="F13" s="953" t="s">
        <v>28</v>
      </c>
      <c r="G13" s="953" t="s">
        <v>552</v>
      </c>
      <c r="H13" s="953" t="s">
        <v>553</v>
      </c>
      <c r="I13" s="953" t="s">
        <v>547</v>
      </c>
    </row>
    <row r="14" spans="1:14" ht="28.8" x14ac:dyDescent="0.3">
      <c r="A14" s="168">
        <v>10</v>
      </c>
      <c r="B14" s="315" t="s">
        <v>589</v>
      </c>
      <c r="C14" s="171"/>
      <c r="D14" s="323">
        <v>1.3</v>
      </c>
      <c r="E14" s="168" t="s">
        <v>551</v>
      </c>
      <c r="F14" s="168">
        <v>1</v>
      </c>
      <c r="G14" s="168"/>
      <c r="H14" s="168"/>
      <c r="I14" s="323">
        <f>IF('WT 02001'!$H14&lt;&gt;"",'WT 02001'!$D14*'WT 02001'!$F14*'WT 02001'!$H14,'WT 02001'!$D14*'WT 02001'!$F14)</f>
        <v>1.3</v>
      </c>
      <c r="L14" s="736"/>
      <c r="M14" s="736"/>
    </row>
    <row r="15" spans="1:14" ht="28.8" x14ac:dyDescent="0.3">
      <c r="A15" s="168">
        <v>20</v>
      </c>
      <c r="B15" s="171" t="s">
        <v>609</v>
      </c>
      <c r="C15" s="184" t="s">
        <v>2926</v>
      </c>
      <c r="D15" s="323">
        <v>0.04</v>
      </c>
      <c r="E15" s="168" t="s">
        <v>610</v>
      </c>
      <c r="F15" s="168">
        <v>1620</v>
      </c>
      <c r="G15" s="315" t="s">
        <v>723</v>
      </c>
      <c r="H15" s="168">
        <v>1</v>
      </c>
      <c r="I15" s="322">
        <f>F15*D15</f>
        <v>64.8</v>
      </c>
      <c r="K15" s="248"/>
      <c r="L15" s="736"/>
      <c r="M15" s="736"/>
      <c r="N15" s="736"/>
    </row>
    <row r="16" spans="1:14" ht="28.8" x14ac:dyDescent="0.3">
      <c r="A16" s="168">
        <v>30</v>
      </c>
      <c r="B16" s="315" t="s">
        <v>785</v>
      </c>
      <c r="C16" s="171"/>
      <c r="D16" s="323">
        <v>0.65</v>
      </c>
      <c r="E16" s="168"/>
      <c r="F16" s="168">
        <v>1</v>
      </c>
      <c r="G16" s="168"/>
      <c r="H16" s="168"/>
      <c r="I16" s="322">
        <f>IF('WT 02001'!$H16&lt;&gt;"",'WT 02001'!$D16*'WT 02001'!$F16*'WT 02001'!$H16,'WT 02001'!$D16*'WT 02001'!$F16)</f>
        <v>0.65</v>
      </c>
      <c r="L16" s="736"/>
      <c r="M16" s="736"/>
    </row>
    <row r="17" spans="1:15" ht="28.8" x14ac:dyDescent="0.3">
      <c r="A17" s="168">
        <v>40</v>
      </c>
      <c r="B17" s="171" t="s">
        <v>609</v>
      </c>
      <c r="C17" s="184" t="s">
        <v>2927</v>
      </c>
      <c r="D17" s="323">
        <v>0.04</v>
      </c>
      <c r="E17" s="168" t="s">
        <v>610</v>
      </c>
      <c r="F17" s="168">
        <v>119</v>
      </c>
      <c r="G17" s="315" t="s">
        <v>723</v>
      </c>
      <c r="H17" s="168">
        <v>1</v>
      </c>
      <c r="I17" s="322">
        <f>F17*D17</f>
        <v>4.76</v>
      </c>
      <c r="L17" s="736"/>
      <c r="N17" s="736"/>
    </row>
    <row r="18" spans="1:15" ht="28.8" x14ac:dyDescent="0.3">
      <c r="A18" s="168">
        <v>50</v>
      </c>
      <c r="B18" s="348" t="s">
        <v>862</v>
      </c>
      <c r="C18" s="171"/>
      <c r="D18" s="323">
        <v>0.1</v>
      </c>
      <c r="E18" s="168" t="s">
        <v>593</v>
      </c>
      <c r="F18" s="168">
        <v>3</v>
      </c>
      <c r="G18" s="168"/>
      <c r="H18" s="168"/>
      <c r="I18" s="322">
        <f>IF('WT 02001'!$H18&lt;&gt;"",'WT 02001'!$D18*'WT 02001'!$F18*'WT 02001'!$H18,'WT 02001'!$D18*'WT 02001'!$F18)</f>
        <v>0.30000000000000004</v>
      </c>
      <c r="O18" s="736"/>
    </row>
    <row r="19" spans="1:15" ht="28.8" x14ac:dyDescent="0.3">
      <c r="A19" s="168">
        <v>60</v>
      </c>
      <c r="B19" s="180" t="s">
        <v>788</v>
      </c>
      <c r="C19" s="171"/>
      <c r="D19" s="323">
        <v>0.1</v>
      </c>
      <c r="E19" s="168" t="s">
        <v>593</v>
      </c>
      <c r="F19" s="168">
        <v>2.4</v>
      </c>
      <c r="G19" s="168"/>
      <c r="H19" s="168"/>
      <c r="I19" s="322">
        <f>IF('WT 02001'!$H19&lt;&gt;"",'WT 02001'!$D19*'WT 02001'!$F19*'WT 02001'!$H19,'WT 02001'!$D19*'WT 02001'!$F19)</f>
        <v>0.24</v>
      </c>
      <c r="M19" s="736"/>
      <c r="N19" s="736"/>
    </row>
    <row r="20" spans="1:15" s="178" customFormat="1" x14ac:dyDescent="0.3">
      <c r="H20" s="954" t="s">
        <v>547</v>
      </c>
      <c r="I20" s="955">
        <f>SUM(I14:I19)</f>
        <v>72.05</v>
      </c>
    </row>
    <row r="21" spans="1:15" x14ac:dyDescent="0.3">
      <c r="L21" s="736"/>
    </row>
  </sheetData>
  <hyperlinks>
    <hyperlink ref="D2" location="'Front hub drawing'!A1" display="FileLink1"/>
  </hyperlinks>
  <pageMargins left="0.5" right="0.5" top="0.75" bottom="0.75" header="0.3" footer="0.3"/>
  <pageSetup paperSize="9" scale="67" orientation="landscape" r:id="rId1"/>
  <drawing r:id="rId2"/>
</worksheet>
</file>

<file path=xl/worksheets/sheet3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39997558519241921"/>
    <pageSetUpPr fitToPage="1"/>
  </sheetPr>
  <dimension ref="A1:N11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7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3320312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948" t="s">
        <v>523</v>
      </c>
      <c r="B1" s="161" t="s">
        <v>524</v>
      </c>
      <c r="J1" s="949" t="s">
        <v>528</v>
      </c>
      <c r="K1" s="163">
        <v>81</v>
      </c>
      <c r="M1" s="948" t="s">
        <v>546</v>
      </c>
      <c r="N1" s="336">
        <f>N11</f>
        <v>122.59</v>
      </c>
    </row>
    <row r="2" spans="1:14" x14ac:dyDescent="0.3">
      <c r="A2" s="948" t="s">
        <v>532</v>
      </c>
      <c r="B2" s="161" t="s">
        <v>2923</v>
      </c>
      <c r="D2" s="948" t="s">
        <v>536</v>
      </c>
      <c r="M2" s="948" t="s">
        <v>533</v>
      </c>
      <c r="N2" s="165">
        <v>4</v>
      </c>
    </row>
    <row r="3" spans="1:14" x14ac:dyDescent="0.3">
      <c r="A3" s="948" t="s">
        <v>534</v>
      </c>
      <c r="B3" s="161" t="s">
        <v>512</v>
      </c>
      <c r="D3" s="948" t="s">
        <v>538</v>
      </c>
      <c r="J3" s="948" t="s">
        <v>536</v>
      </c>
    </row>
    <row r="4" spans="1:14" x14ac:dyDescent="0.3">
      <c r="A4" s="948" t="s">
        <v>545</v>
      </c>
      <c r="B4" s="166" t="s">
        <v>516</v>
      </c>
      <c r="D4" s="948" t="s">
        <v>541</v>
      </c>
      <c r="J4" s="948" t="s">
        <v>538</v>
      </c>
      <c r="M4" s="948" t="s">
        <v>539</v>
      </c>
      <c r="N4" s="336">
        <f>N1*N2</f>
        <v>490.36</v>
      </c>
    </row>
    <row r="5" spans="1:14" x14ac:dyDescent="0.3">
      <c r="A5" s="948" t="s">
        <v>537</v>
      </c>
      <c r="B5" s="166" t="s">
        <v>515</v>
      </c>
      <c r="J5" s="948" t="s">
        <v>541</v>
      </c>
    </row>
    <row r="6" spans="1:14" x14ac:dyDescent="0.3">
      <c r="A6" s="948" t="s">
        <v>540</v>
      </c>
      <c r="B6" s="161" t="s">
        <v>36</v>
      </c>
    </row>
    <row r="7" spans="1:14" x14ac:dyDescent="0.3">
      <c r="A7" s="948" t="s">
        <v>542</v>
      </c>
      <c r="B7" s="161" t="s">
        <v>2928</v>
      </c>
    </row>
    <row r="9" spans="1:14" s="178" customFormat="1" x14ac:dyDescent="0.3">
      <c r="A9" s="953" t="s">
        <v>544</v>
      </c>
      <c r="B9" s="953" t="s">
        <v>581</v>
      </c>
      <c r="C9" s="953" t="s">
        <v>549</v>
      </c>
      <c r="D9" s="953" t="s">
        <v>550</v>
      </c>
      <c r="E9" s="953" t="s">
        <v>567</v>
      </c>
      <c r="F9" s="953" t="s">
        <v>568</v>
      </c>
      <c r="G9" s="953" t="s">
        <v>569</v>
      </c>
      <c r="H9" s="953" t="s">
        <v>570</v>
      </c>
      <c r="I9" s="953" t="s">
        <v>582</v>
      </c>
      <c r="J9" s="953" t="s">
        <v>583</v>
      </c>
      <c r="K9" s="953" t="s">
        <v>584</v>
      </c>
      <c r="L9" s="953" t="s">
        <v>585</v>
      </c>
      <c r="M9" s="953" t="s">
        <v>28</v>
      </c>
      <c r="N9" s="953" t="s">
        <v>547</v>
      </c>
    </row>
    <row r="10" spans="1:14" ht="28.8" x14ac:dyDescent="0.3">
      <c r="A10" s="168">
        <v>10</v>
      </c>
      <c r="B10" s="225" t="s">
        <v>2929</v>
      </c>
      <c r="C10" s="168" t="s">
        <v>2930</v>
      </c>
      <c r="D10" s="323">
        <v>122.59</v>
      </c>
      <c r="E10" s="316">
        <v>85</v>
      </c>
      <c r="F10" s="168" t="s">
        <v>573</v>
      </c>
      <c r="G10" s="168">
        <v>13</v>
      </c>
      <c r="H10" s="219" t="s">
        <v>573</v>
      </c>
      <c r="I10" s="269"/>
      <c r="J10" s="227"/>
      <c r="K10" s="228"/>
      <c r="L10" s="219"/>
      <c r="M10" s="222">
        <v>1</v>
      </c>
      <c r="N10" s="322">
        <f>IF(J10="",D10*M10,D10*J10*K10*L10*M10)</f>
        <v>122.59</v>
      </c>
    </row>
    <row r="11" spans="1:14" s="178" customFormat="1" x14ac:dyDescent="0.3">
      <c r="M11" s="954" t="s">
        <v>547</v>
      </c>
      <c r="N11" s="955">
        <f>SUM(N10:N10)</f>
        <v>122.59</v>
      </c>
    </row>
  </sheetData>
  <pageMargins left="0.7" right="0.7" top="0.75" bottom="0.75" header="0.3" footer="0.3"/>
  <pageSetup paperSize="9" scale="66" fitToHeight="0" orientation="landscape" r:id="rId1"/>
</worksheet>
</file>

<file path=xl/worksheets/sheet3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3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3320312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948" t="s">
        <v>523</v>
      </c>
      <c r="B1" s="161" t="s">
        <v>524</v>
      </c>
      <c r="J1" s="949" t="s">
        <v>528</v>
      </c>
      <c r="K1" s="163">
        <v>81</v>
      </c>
      <c r="M1" s="948" t="s">
        <v>546</v>
      </c>
      <c r="N1" s="336">
        <f>N11+I17</f>
        <v>6.0798595299999993</v>
      </c>
    </row>
    <row r="2" spans="1:14" x14ac:dyDescent="0.3">
      <c r="A2" s="948" t="s">
        <v>532</v>
      </c>
      <c r="B2" s="161" t="s">
        <v>2923</v>
      </c>
      <c r="C2" s="359" t="s">
        <v>2633</v>
      </c>
      <c r="D2" s="956" t="s">
        <v>536</v>
      </c>
      <c r="M2" s="948" t="s">
        <v>533</v>
      </c>
      <c r="N2" s="165">
        <v>1</v>
      </c>
    </row>
    <row r="3" spans="1:14" x14ac:dyDescent="0.3">
      <c r="A3" s="948" t="s">
        <v>534</v>
      </c>
      <c r="B3" s="161" t="s">
        <v>512</v>
      </c>
      <c r="D3" s="948" t="s">
        <v>538</v>
      </c>
      <c r="J3" s="948" t="s">
        <v>536</v>
      </c>
    </row>
    <row r="4" spans="1:14" x14ac:dyDescent="0.3">
      <c r="A4" s="948" t="s">
        <v>545</v>
      </c>
      <c r="B4" s="166" t="s">
        <v>2914</v>
      </c>
      <c r="D4" s="948" t="s">
        <v>541</v>
      </c>
      <c r="J4" s="948" t="s">
        <v>538</v>
      </c>
      <c r="M4" s="948" t="s">
        <v>539</v>
      </c>
      <c r="N4" s="336">
        <f>N1*N2</f>
        <v>6.0798595299999993</v>
      </c>
    </row>
    <row r="5" spans="1:14" x14ac:dyDescent="0.3">
      <c r="A5" s="948" t="s">
        <v>537</v>
      </c>
      <c r="B5" s="166" t="s">
        <v>2931</v>
      </c>
      <c r="J5" s="948" t="s">
        <v>541</v>
      </c>
    </row>
    <row r="6" spans="1:14" x14ac:dyDescent="0.3">
      <c r="A6" s="948" t="s">
        <v>540</v>
      </c>
      <c r="B6" s="161" t="s">
        <v>36</v>
      </c>
    </row>
    <row r="7" spans="1:14" x14ac:dyDescent="0.3">
      <c r="A7" s="948" t="s">
        <v>542</v>
      </c>
      <c r="B7" s="161" t="s">
        <v>2928</v>
      </c>
    </row>
    <row r="9" spans="1:14" s="178" customFormat="1" x14ac:dyDescent="0.3">
      <c r="A9" s="953" t="s">
        <v>544</v>
      </c>
      <c r="B9" s="953" t="s">
        <v>581</v>
      </c>
      <c r="C9" s="953" t="s">
        <v>549</v>
      </c>
      <c r="D9" s="953" t="s">
        <v>550</v>
      </c>
      <c r="E9" s="953" t="s">
        <v>567</v>
      </c>
      <c r="F9" s="953" t="s">
        <v>568</v>
      </c>
      <c r="G9" s="953" t="s">
        <v>569</v>
      </c>
      <c r="H9" s="953" t="s">
        <v>570</v>
      </c>
      <c r="I9" s="953" t="s">
        <v>582</v>
      </c>
      <c r="J9" s="953" t="s">
        <v>583</v>
      </c>
      <c r="K9" s="953" t="s">
        <v>584</v>
      </c>
      <c r="L9" s="953" t="s">
        <v>585</v>
      </c>
      <c r="M9" s="953" t="s">
        <v>28</v>
      </c>
      <c r="N9" s="953" t="s">
        <v>547</v>
      </c>
    </row>
    <row r="10" spans="1:14" s="311" customFormat="1" ht="28.8" x14ac:dyDescent="0.3">
      <c r="A10" s="183">
        <v>10</v>
      </c>
      <c r="B10" s="190" t="s">
        <v>726</v>
      </c>
      <c r="C10" s="183"/>
      <c r="D10" s="241">
        <v>2.25</v>
      </c>
      <c r="E10" s="459">
        <v>0.13700000000000001</v>
      </c>
      <c r="F10" s="183" t="s">
        <v>644</v>
      </c>
      <c r="G10" s="183">
        <v>0.13700000000000001</v>
      </c>
      <c r="H10" s="204" t="s">
        <v>644</v>
      </c>
      <c r="I10" s="269" t="s">
        <v>2932</v>
      </c>
      <c r="J10" s="206">
        <f>E10*G10</f>
        <v>1.8769000000000004E-2</v>
      </c>
      <c r="K10" s="207">
        <v>2E-3</v>
      </c>
      <c r="L10" s="204">
        <v>7860</v>
      </c>
      <c r="M10" s="431">
        <v>1</v>
      </c>
      <c r="N10" s="385">
        <f>IF(J10="",D10*M10,D10*J10*K10*L10*M10)</f>
        <v>0.6638595300000002</v>
      </c>
    </row>
    <row r="11" spans="1:14" s="178" customFormat="1" x14ac:dyDescent="0.3">
      <c r="M11" s="954" t="s">
        <v>547</v>
      </c>
      <c r="N11" s="955">
        <f>SUM(N10:N10)</f>
        <v>0.6638595300000002</v>
      </c>
    </row>
    <row r="14" spans="1:14" x14ac:dyDescent="0.3">
      <c r="A14" s="953" t="s">
        <v>544</v>
      </c>
      <c r="B14" s="953" t="s">
        <v>548</v>
      </c>
      <c r="C14" s="953" t="s">
        <v>549</v>
      </c>
      <c r="D14" s="953" t="s">
        <v>550</v>
      </c>
      <c r="E14" s="953" t="s">
        <v>551</v>
      </c>
      <c r="F14" s="953" t="s">
        <v>28</v>
      </c>
      <c r="G14" s="953" t="s">
        <v>552</v>
      </c>
      <c r="H14" s="953" t="s">
        <v>553</v>
      </c>
      <c r="I14" s="953" t="s">
        <v>547</v>
      </c>
    </row>
    <row r="15" spans="1:14" ht="28.8" x14ac:dyDescent="0.3">
      <c r="A15" s="168">
        <v>10</v>
      </c>
      <c r="B15" s="180" t="s">
        <v>589</v>
      </c>
      <c r="C15" s="171"/>
      <c r="D15" s="323">
        <v>1.3</v>
      </c>
      <c r="E15" s="168" t="s">
        <v>551</v>
      </c>
      <c r="F15" s="168">
        <v>1</v>
      </c>
      <c r="G15" s="168"/>
      <c r="H15" s="168"/>
      <c r="I15" s="323">
        <f>D15*F15</f>
        <v>1.3</v>
      </c>
    </row>
    <row r="16" spans="1:14" ht="28.8" x14ac:dyDescent="0.3">
      <c r="A16" s="168">
        <v>20</v>
      </c>
      <c r="B16" s="180" t="s">
        <v>700</v>
      </c>
      <c r="C16" s="193" t="s">
        <v>2933</v>
      </c>
      <c r="D16" s="323">
        <v>0.01</v>
      </c>
      <c r="E16" s="168" t="s">
        <v>593</v>
      </c>
      <c r="F16" s="168">
        <v>137.19999999999999</v>
      </c>
      <c r="G16" s="184" t="s">
        <v>598</v>
      </c>
      <c r="H16" s="168">
        <v>3</v>
      </c>
      <c r="I16" s="323">
        <f>D16*F16*H16</f>
        <v>4.1159999999999997</v>
      </c>
    </row>
    <row r="17" spans="1:9" x14ac:dyDescent="0.3">
      <c r="A17" s="178"/>
      <c r="B17" s="178"/>
      <c r="C17" s="178"/>
      <c r="D17" s="178"/>
      <c r="E17" s="178"/>
      <c r="F17" s="178"/>
      <c r="G17" s="178"/>
      <c r="H17" s="954" t="s">
        <v>547</v>
      </c>
      <c r="I17" s="955">
        <f>SUM(I15:I16)</f>
        <v>5.4159999999999995</v>
      </c>
    </row>
  </sheetData>
  <hyperlinks>
    <hyperlink ref="D2" location="'Sensor target drawing'!A1" display="FileLink1"/>
  </hyperlinks>
  <pageMargins left="0.7" right="0.7" top="0.75" bottom="0.75" header="0.3" footer="0.3"/>
  <pageSetup paperSize="9" scale="64" fitToHeight="0" orientation="landscape" r:id="rId1"/>
</worksheet>
</file>

<file path=xl/worksheets/sheet3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-0.499984740745262"/>
    <pageSetUpPr fitToPage="1"/>
  </sheetPr>
  <dimension ref="A1:N26"/>
  <sheetViews>
    <sheetView showGridLines="0" workbookViewId="0"/>
  </sheetViews>
  <sheetFormatPr defaultColWidth="9.109375" defaultRowHeight="14.4" x14ac:dyDescent="0.3"/>
  <cols>
    <col min="1" max="1" width="10.5546875" style="161" bestFit="1" customWidth="1"/>
    <col min="2" max="2" width="25.554687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3.886718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6640625" style="161" bestFit="1" customWidth="1"/>
    <col min="14" max="14" width="11.6640625" style="161" customWidth="1"/>
    <col min="15" max="16384" width="9.109375" style="161"/>
  </cols>
  <sheetData>
    <row r="1" spans="1:14" x14ac:dyDescent="0.3">
      <c r="A1" s="943" t="s">
        <v>523</v>
      </c>
      <c r="B1" s="161" t="s">
        <v>524</v>
      </c>
      <c r="J1" s="943" t="s">
        <v>528</v>
      </c>
      <c r="K1" s="163">
        <v>81</v>
      </c>
      <c r="M1" s="943" t="s">
        <v>531</v>
      </c>
      <c r="N1" s="336">
        <f>E11+N15+I21+J25</f>
        <v>375.17357972000002</v>
      </c>
    </row>
    <row r="2" spans="1:14" x14ac:dyDescent="0.3">
      <c r="A2" s="943" t="s">
        <v>532</v>
      </c>
      <c r="B2" s="161" t="s">
        <v>2895</v>
      </c>
      <c r="M2" s="943" t="s">
        <v>533</v>
      </c>
      <c r="N2" s="165">
        <v>2</v>
      </c>
    </row>
    <row r="3" spans="1:14" x14ac:dyDescent="0.3">
      <c r="A3" s="943" t="s">
        <v>534</v>
      </c>
      <c r="B3" s="161" t="s">
        <v>518</v>
      </c>
      <c r="J3" s="943" t="s">
        <v>536</v>
      </c>
    </row>
    <row r="4" spans="1:14" x14ac:dyDescent="0.3">
      <c r="A4" s="943" t="s">
        <v>537</v>
      </c>
      <c r="B4" s="166" t="s">
        <v>517</v>
      </c>
      <c r="J4" s="943" t="s">
        <v>538</v>
      </c>
      <c r="M4" s="943" t="s">
        <v>539</v>
      </c>
      <c r="N4" s="336">
        <f>N1*N2</f>
        <v>750.34715944000004</v>
      </c>
    </row>
    <row r="5" spans="1:14" x14ac:dyDescent="0.3">
      <c r="A5" s="943" t="s">
        <v>540</v>
      </c>
      <c r="B5" s="161" t="s">
        <v>36</v>
      </c>
      <c r="J5" s="943" t="s">
        <v>541</v>
      </c>
    </row>
    <row r="6" spans="1:14" x14ac:dyDescent="0.3">
      <c r="A6" s="943" t="s">
        <v>542</v>
      </c>
      <c r="B6" s="334"/>
    </row>
    <row r="8" spans="1:14" x14ac:dyDescent="0.3">
      <c r="A8" s="944" t="s">
        <v>544</v>
      </c>
      <c r="B8" s="944" t="s">
        <v>545</v>
      </c>
      <c r="C8" s="944" t="s">
        <v>546</v>
      </c>
      <c r="D8" s="944" t="s">
        <v>28</v>
      </c>
      <c r="E8" s="944" t="s">
        <v>547</v>
      </c>
    </row>
    <row r="9" spans="1:14" x14ac:dyDescent="0.3">
      <c r="A9" s="168">
        <v>10</v>
      </c>
      <c r="B9" s="168" t="s">
        <v>520</v>
      </c>
      <c r="C9" s="323">
        <f>'WT 03001'!N1</f>
        <v>93.113579720000004</v>
      </c>
      <c r="D9" s="171">
        <v>1</v>
      </c>
      <c r="E9" s="322">
        <f>C9*D9</f>
        <v>93.113579720000004</v>
      </c>
    </row>
    <row r="10" spans="1:14" x14ac:dyDescent="0.3">
      <c r="A10" s="168">
        <v>20</v>
      </c>
      <c r="B10" s="168" t="s">
        <v>516</v>
      </c>
      <c r="C10" s="323">
        <f>'WT 03002'!N1</f>
        <v>122.59</v>
      </c>
      <c r="D10" s="171">
        <v>2</v>
      </c>
      <c r="E10" s="322">
        <f>C10*D10</f>
        <v>245.18</v>
      </c>
    </row>
    <row r="11" spans="1:14" x14ac:dyDescent="0.3">
      <c r="D11" s="946" t="s">
        <v>547</v>
      </c>
      <c r="E11" s="947">
        <f>SUM(E9:E10)</f>
        <v>338.29357972000003</v>
      </c>
    </row>
    <row r="13" spans="1:14" x14ac:dyDescent="0.3">
      <c r="A13" s="944" t="s">
        <v>544</v>
      </c>
      <c r="B13" s="944" t="s">
        <v>581</v>
      </c>
      <c r="C13" s="944" t="s">
        <v>549</v>
      </c>
      <c r="D13" s="944" t="s">
        <v>550</v>
      </c>
      <c r="E13" s="944" t="s">
        <v>567</v>
      </c>
      <c r="F13" s="944" t="s">
        <v>568</v>
      </c>
      <c r="G13" s="944" t="s">
        <v>569</v>
      </c>
      <c r="H13" s="944" t="s">
        <v>570</v>
      </c>
      <c r="I13" s="944" t="s">
        <v>582</v>
      </c>
      <c r="J13" s="944" t="s">
        <v>583</v>
      </c>
      <c r="K13" s="944" t="s">
        <v>584</v>
      </c>
      <c r="L13" s="944" t="s">
        <v>585</v>
      </c>
      <c r="M13" s="944" t="s">
        <v>28</v>
      </c>
      <c r="N13" s="944" t="s">
        <v>547</v>
      </c>
    </row>
    <row r="14" spans="1:14" x14ac:dyDescent="0.3">
      <c r="A14" s="168">
        <v>10</v>
      </c>
      <c r="B14" s="225" t="s">
        <v>2915</v>
      </c>
      <c r="C14" s="168" t="s">
        <v>2916</v>
      </c>
      <c r="D14" s="323">
        <v>9.1300000000000008</v>
      </c>
      <c r="E14" s="168">
        <v>60</v>
      </c>
      <c r="F14" s="168" t="s">
        <v>573</v>
      </c>
      <c r="G14" s="168"/>
      <c r="H14" s="219"/>
      <c r="I14" s="220"/>
      <c r="J14" s="221"/>
      <c r="K14" s="219"/>
      <c r="L14" s="219"/>
      <c r="M14" s="222">
        <v>2</v>
      </c>
      <c r="N14" s="322">
        <f>IF(J14="",D14*M14,D14*J14*K14*L14*M14)</f>
        <v>18.260000000000002</v>
      </c>
    </row>
    <row r="15" spans="1:14" s="178" customFormat="1" x14ac:dyDescent="0.3">
      <c r="M15" s="946" t="s">
        <v>547</v>
      </c>
      <c r="N15" s="947">
        <f>SUM(N14:N14)</f>
        <v>18.260000000000002</v>
      </c>
    </row>
    <row r="17" spans="1:10" s="178" customFormat="1" x14ac:dyDescent="0.3">
      <c r="A17" s="944" t="s">
        <v>544</v>
      </c>
      <c r="B17" s="944" t="s">
        <v>548</v>
      </c>
      <c r="C17" s="944" t="s">
        <v>549</v>
      </c>
      <c r="D17" s="944" t="s">
        <v>550</v>
      </c>
      <c r="E17" s="944" t="s">
        <v>551</v>
      </c>
      <c r="F17" s="944" t="s">
        <v>28</v>
      </c>
      <c r="G17" s="944" t="s">
        <v>552</v>
      </c>
      <c r="H17" s="944" t="s">
        <v>553</v>
      </c>
      <c r="I17" s="944" t="s">
        <v>547</v>
      </c>
    </row>
    <row r="18" spans="1:10" x14ac:dyDescent="0.3">
      <c r="A18" s="168">
        <v>10</v>
      </c>
      <c r="B18" s="180" t="s">
        <v>760</v>
      </c>
      <c r="C18" s="171" t="s">
        <v>2917</v>
      </c>
      <c r="D18" s="323">
        <v>0.19</v>
      </c>
      <c r="E18" s="168" t="s">
        <v>551</v>
      </c>
      <c r="F18" s="168">
        <v>4</v>
      </c>
      <c r="G18" s="168"/>
      <c r="H18" s="168">
        <v>1</v>
      </c>
      <c r="I18" s="323">
        <f>D18*F18*H18</f>
        <v>0.76</v>
      </c>
    </row>
    <row r="19" spans="1:10" x14ac:dyDescent="0.3">
      <c r="A19" s="168">
        <v>20</v>
      </c>
      <c r="B19" s="349" t="s">
        <v>760</v>
      </c>
      <c r="C19" s="171" t="s">
        <v>2918</v>
      </c>
      <c r="D19" s="323">
        <v>0.19</v>
      </c>
      <c r="E19" s="168" t="s">
        <v>551</v>
      </c>
      <c r="F19" s="168">
        <v>2</v>
      </c>
      <c r="G19" s="168"/>
      <c r="H19" s="168"/>
      <c r="I19" s="323">
        <f>F19*D19</f>
        <v>0.38</v>
      </c>
    </row>
    <row r="20" spans="1:10" x14ac:dyDescent="0.3">
      <c r="A20" s="168">
        <v>30</v>
      </c>
      <c r="B20" s="180" t="s">
        <v>2919</v>
      </c>
      <c r="C20" s="184" t="s">
        <v>2920</v>
      </c>
      <c r="D20" s="323">
        <v>2</v>
      </c>
      <c r="E20" s="168" t="s">
        <v>551</v>
      </c>
      <c r="F20" s="168">
        <v>2</v>
      </c>
      <c r="G20" s="168"/>
      <c r="H20" s="168"/>
      <c r="I20" s="323">
        <f>D20*F20</f>
        <v>4</v>
      </c>
    </row>
    <row r="21" spans="1:10" s="178" customFormat="1" x14ac:dyDescent="0.3">
      <c r="H21" s="946" t="s">
        <v>547</v>
      </c>
      <c r="I21" s="947">
        <f>SUM(I18:I20)</f>
        <v>5.1400000000000006</v>
      </c>
    </row>
    <row r="23" spans="1:10" s="178" customFormat="1" x14ac:dyDescent="0.3">
      <c r="A23" s="944" t="s">
        <v>544</v>
      </c>
      <c r="B23" s="944" t="s">
        <v>566</v>
      </c>
      <c r="C23" s="944" t="s">
        <v>549</v>
      </c>
      <c r="D23" s="944" t="s">
        <v>550</v>
      </c>
      <c r="E23" s="944" t="s">
        <v>567</v>
      </c>
      <c r="F23" s="944" t="s">
        <v>568</v>
      </c>
      <c r="G23" s="944" t="s">
        <v>569</v>
      </c>
      <c r="H23" s="944" t="s">
        <v>570</v>
      </c>
      <c r="I23" s="944" t="s">
        <v>28</v>
      </c>
      <c r="J23" s="944" t="s">
        <v>547</v>
      </c>
    </row>
    <row r="24" spans="1:10" x14ac:dyDescent="0.3">
      <c r="A24" s="168">
        <v>10</v>
      </c>
      <c r="B24" s="225" t="s">
        <v>2921</v>
      </c>
      <c r="C24" s="168" t="s">
        <v>2922</v>
      </c>
      <c r="D24" s="323">
        <v>3.37</v>
      </c>
      <c r="E24" s="168">
        <v>12</v>
      </c>
      <c r="F24" s="245" t="s">
        <v>573</v>
      </c>
      <c r="G24" s="168">
        <v>150</v>
      </c>
      <c r="H24" s="171" t="s">
        <v>573</v>
      </c>
      <c r="I24" s="327">
        <v>4</v>
      </c>
      <c r="J24" s="323">
        <f>D24*I24</f>
        <v>13.48</v>
      </c>
    </row>
    <row r="25" spans="1:10" s="178" customFormat="1" x14ac:dyDescent="0.3">
      <c r="I25" s="946" t="s">
        <v>547</v>
      </c>
      <c r="J25" s="947">
        <f>SUM(J24:J24)</f>
        <v>13.48</v>
      </c>
    </row>
    <row r="26" spans="1:10" x14ac:dyDescent="0.3">
      <c r="H26" s="326"/>
      <c r="I26" s="325"/>
    </row>
  </sheetData>
  <pageMargins left="0.5" right="0.5" top="0.75" bottom="0.75" header="0.3" footer="0.3"/>
  <pageSetup paperSize="9" scale="72" orientation="landscape" r:id="rId1"/>
</worksheet>
</file>

<file path=xl/worksheets/sheet3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39997558519241921"/>
    <pageSetUpPr fitToPage="1"/>
  </sheetPr>
  <dimension ref="A1:O23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0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1.66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3320312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948" t="s">
        <v>523</v>
      </c>
      <c r="B1" s="161" t="s">
        <v>524</v>
      </c>
      <c r="J1" s="949" t="s">
        <v>528</v>
      </c>
      <c r="K1" s="163">
        <v>81</v>
      </c>
      <c r="M1" s="948" t="s">
        <v>546</v>
      </c>
      <c r="N1" s="336">
        <f>N11+I21</f>
        <v>93.113579720000004</v>
      </c>
    </row>
    <row r="2" spans="1:14" x14ac:dyDescent="0.3">
      <c r="A2" s="948" t="s">
        <v>532</v>
      </c>
      <c r="B2" s="161" t="s">
        <v>2923</v>
      </c>
      <c r="C2" s="359" t="s">
        <v>732</v>
      </c>
      <c r="D2" s="956" t="s">
        <v>536</v>
      </c>
      <c r="M2" s="948" t="s">
        <v>533</v>
      </c>
      <c r="N2" s="165">
        <v>2</v>
      </c>
    </row>
    <row r="3" spans="1:14" x14ac:dyDescent="0.3">
      <c r="A3" s="948" t="s">
        <v>534</v>
      </c>
      <c r="B3" s="161" t="s">
        <v>518</v>
      </c>
      <c r="D3" s="948" t="s">
        <v>538</v>
      </c>
      <c r="J3" s="948" t="s">
        <v>536</v>
      </c>
    </row>
    <row r="4" spans="1:14" x14ac:dyDescent="0.3">
      <c r="A4" s="948" t="s">
        <v>545</v>
      </c>
      <c r="B4" s="166" t="s">
        <v>2934</v>
      </c>
      <c r="D4" s="948" t="s">
        <v>541</v>
      </c>
      <c r="J4" s="948" t="s">
        <v>538</v>
      </c>
      <c r="M4" s="948" t="s">
        <v>539</v>
      </c>
      <c r="N4" s="336">
        <f>N1*N2</f>
        <v>186.22715944000001</v>
      </c>
    </row>
    <row r="5" spans="1:14" x14ac:dyDescent="0.3">
      <c r="A5" s="948" t="s">
        <v>537</v>
      </c>
      <c r="B5" s="166" t="s">
        <v>519</v>
      </c>
      <c r="J5" s="948" t="s">
        <v>541</v>
      </c>
    </row>
    <row r="6" spans="1:14" x14ac:dyDescent="0.3">
      <c r="A6" s="948" t="s">
        <v>540</v>
      </c>
      <c r="B6" s="161" t="s">
        <v>36</v>
      </c>
    </row>
    <row r="7" spans="1:14" x14ac:dyDescent="0.3">
      <c r="A7" s="948" t="s">
        <v>542</v>
      </c>
      <c r="B7" s="334"/>
    </row>
    <row r="9" spans="1:14" s="178" customFormat="1" x14ac:dyDescent="0.3">
      <c r="A9" s="953" t="s">
        <v>544</v>
      </c>
      <c r="B9" s="953" t="s">
        <v>581</v>
      </c>
      <c r="C9" s="953" t="s">
        <v>549</v>
      </c>
      <c r="D9" s="953" t="s">
        <v>550</v>
      </c>
      <c r="E9" s="953" t="s">
        <v>567</v>
      </c>
      <c r="F9" s="953" t="s">
        <v>568</v>
      </c>
      <c r="G9" s="953" t="s">
        <v>569</v>
      </c>
      <c r="H9" s="953" t="s">
        <v>570</v>
      </c>
      <c r="I9" s="953" t="s">
        <v>582</v>
      </c>
      <c r="J9" s="953" t="s">
        <v>583</v>
      </c>
      <c r="K9" s="953" t="s">
        <v>584</v>
      </c>
      <c r="L9" s="953" t="s">
        <v>585</v>
      </c>
      <c r="M9" s="953" t="s">
        <v>28</v>
      </c>
      <c r="N9" s="953" t="s">
        <v>547</v>
      </c>
    </row>
    <row r="10" spans="1:14" ht="28.8" x14ac:dyDescent="0.3">
      <c r="A10" s="168">
        <v>10</v>
      </c>
      <c r="B10" s="225" t="s">
        <v>2858</v>
      </c>
      <c r="C10" s="168" t="s">
        <v>520</v>
      </c>
      <c r="D10" s="323">
        <v>4.2</v>
      </c>
      <c r="E10" s="316">
        <f>J10*K10*L10</f>
        <v>4.5865666000000012</v>
      </c>
      <c r="F10" s="168" t="s">
        <v>856</v>
      </c>
      <c r="G10" s="168"/>
      <c r="H10" s="219"/>
      <c r="I10" s="269" t="s">
        <v>2925</v>
      </c>
      <c r="J10" s="227">
        <f>3.14*0.07*0.07</f>
        <v>1.5386000000000004E-2</v>
      </c>
      <c r="K10" s="228">
        <v>0.11</v>
      </c>
      <c r="L10" s="219">
        <v>2710</v>
      </c>
      <c r="M10" s="222">
        <v>1</v>
      </c>
      <c r="N10" s="322">
        <f>IF(J10="",D10*M10,D10*J10*K10*L10*M10)</f>
        <v>19.263579720000006</v>
      </c>
    </row>
    <row r="11" spans="1:14" s="178" customFormat="1" x14ac:dyDescent="0.3">
      <c r="M11" s="954" t="s">
        <v>547</v>
      </c>
      <c r="N11" s="955">
        <f>SUM(N10:N10)</f>
        <v>19.263579720000006</v>
      </c>
    </row>
    <row r="13" spans="1:14" s="178" customFormat="1" x14ac:dyDescent="0.3">
      <c r="A13" s="953" t="s">
        <v>544</v>
      </c>
      <c r="B13" s="953" t="s">
        <v>548</v>
      </c>
      <c r="C13" s="953" t="s">
        <v>549</v>
      </c>
      <c r="D13" s="953" t="s">
        <v>550</v>
      </c>
      <c r="E13" s="953" t="s">
        <v>551</v>
      </c>
      <c r="F13" s="953" t="s">
        <v>28</v>
      </c>
      <c r="G13" s="953" t="s">
        <v>552</v>
      </c>
      <c r="H13" s="953" t="s">
        <v>553</v>
      </c>
      <c r="I13" s="953" t="s">
        <v>547</v>
      </c>
    </row>
    <row r="14" spans="1:14" ht="28.8" x14ac:dyDescent="0.3">
      <c r="A14" s="168">
        <v>10</v>
      </c>
      <c r="B14" s="315" t="s">
        <v>589</v>
      </c>
      <c r="C14" s="171"/>
      <c r="D14" s="323">
        <v>1.3</v>
      </c>
      <c r="E14" s="168" t="s">
        <v>551</v>
      </c>
      <c r="F14" s="168">
        <v>1</v>
      </c>
      <c r="G14" s="168"/>
      <c r="H14" s="168"/>
      <c r="I14" s="323">
        <f t="shared" ref="I14:I19" si="0">F14*D14</f>
        <v>1.3</v>
      </c>
      <c r="L14" s="736"/>
      <c r="M14" s="736"/>
    </row>
    <row r="15" spans="1:14" ht="28.8" x14ac:dyDescent="0.3">
      <c r="A15" s="168">
        <v>20</v>
      </c>
      <c r="B15" s="171" t="s">
        <v>609</v>
      </c>
      <c r="C15" s="184" t="s">
        <v>2926</v>
      </c>
      <c r="D15" s="323">
        <v>0.04</v>
      </c>
      <c r="E15" s="168" t="s">
        <v>610</v>
      </c>
      <c r="F15" s="168">
        <v>1620</v>
      </c>
      <c r="G15" s="315" t="s">
        <v>723</v>
      </c>
      <c r="H15" s="168">
        <v>1</v>
      </c>
      <c r="I15" s="323">
        <f t="shared" si="0"/>
        <v>64.8</v>
      </c>
      <c r="K15" s="248"/>
      <c r="L15" s="736"/>
      <c r="M15" s="736"/>
      <c r="N15" s="736"/>
    </row>
    <row r="16" spans="1:14" ht="28.8" x14ac:dyDescent="0.3">
      <c r="A16" s="168">
        <v>30</v>
      </c>
      <c r="B16" s="315" t="s">
        <v>785</v>
      </c>
      <c r="C16" s="171"/>
      <c r="D16" s="323">
        <v>0.65</v>
      </c>
      <c r="E16" s="168"/>
      <c r="F16" s="168">
        <v>1</v>
      </c>
      <c r="G16" s="168"/>
      <c r="H16" s="168"/>
      <c r="I16" s="323">
        <f t="shared" si="0"/>
        <v>0.65</v>
      </c>
      <c r="L16" s="736"/>
      <c r="M16" s="736"/>
    </row>
    <row r="17" spans="1:15" ht="28.8" x14ac:dyDescent="0.3">
      <c r="A17" s="168">
        <v>40</v>
      </c>
      <c r="B17" s="171" t="s">
        <v>609</v>
      </c>
      <c r="C17" s="184" t="s">
        <v>2927</v>
      </c>
      <c r="D17" s="323">
        <v>0.04</v>
      </c>
      <c r="E17" s="168" t="s">
        <v>610</v>
      </c>
      <c r="F17" s="168">
        <v>119</v>
      </c>
      <c r="G17" s="315" t="s">
        <v>723</v>
      </c>
      <c r="H17" s="168">
        <v>1</v>
      </c>
      <c r="I17" s="323">
        <f t="shared" si="0"/>
        <v>4.76</v>
      </c>
      <c r="L17" s="736"/>
      <c r="N17" s="736"/>
    </row>
    <row r="18" spans="1:15" ht="28.8" x14ac:dyDescent="0.3">
      <c r="A18" s="168">
        <v>50</v>
      </c>
      <c r="B18" s="348" t="s">
        <v>862</v>
      </c>
      <c r="C18" s="171"/>
      <c r="D18" s="323">
        <v>0.1</v>
      </c>
      <c r="E18" s="168" t="s">
        <v>593</v>
      </c>
      <c r="F18" s="168">
        <v>3</v>
      </c>
      <c r="G18" s="168"/>
      <c r="H18" s="168"/>
      <c r="I18" s="323">
        <f t="shared" si="0"/>
        <v>0.30000000000000004</v>
      </c>
      <c r="O18" s="736"/>
    </row>
    <row r="19" spans="1:15" ht="28.8" x14ac:dyDescent="0.3">
      <c r="A19" s="168">
        <v>60</v>
      </c>
      <c r="B19" s="180" t="s">
        <v>788</v>
      </c>
      <c r="C19" s="171"/>
      <c r="D19" s="323">
        <v>0.1</v>
      </c>
      <c r="E19" s="168" t="s">
        <v>593</v>
      </c>
      <c r="F19" s="168">
        <v>2.4</v>
      </c>
      <c r="G19" s="168"/>
      <c r="H19" s="168"/>
      <c r="I19" s="323">
        <f t="shared" si="0"/>
        <v>0.24</v>
      </c>
      <c r="M19" s="736"/>
      <c r="N19" s="736"/>
    </row>
    <row r="20" spans="1:15" x14ac:dyDescent="0.3">
      <c r="A20" s="168">
        <v>70</v>
      </c>
      <c r="B20" s="180" t="s">
        <v>1387</v>
      </c>
      <c r="C20" s="171"/>
      <c r="D20" s="323">
        <v>0.5</v>
      </c>
      <c r="E20" s="168" t="s">
        <v>593</v>
      </c>
      <c r="F20" s="168">
        <v>3.6</v>
      </c>
      <c r="G20" s="168"/>
      <c r="H20" s="168"/>
      <c r="I20" s="322">
        <f>IF('WT 03001'!$H20&lt;&gt;"",'WT 03001'!$D20*'WT 03001'!$F20*'WT 03001'!$H20,'WT 03001'!$D20*'WT 03001'!$F20)</f>
        <v>1.8</v>
      </c>
    </row>
    <row r="21" spans="1:15" s="178" customFormat="1" x14ac:dyDescent="0.3">
      <c r="H21" s="954" t="s">
        <v>547</v>
      </c>
      <c r="I21" s="955">
        <f>SUM(I14:I20)</f>
        <v>73.849999999999994</v>
      </c>
    </row>
    <row r="22" spans="1:15" x14ac:dyDescent="0.3">
      <c r="L22" s="736"/>
    </row>
    <row r="23" spans="1:15" x14ac:dyDescent="0.3">
      <c r="H23" s="326"/>
      <c r="I23" s="325"/>
    </row>
  </sheetData>
  <hyperlinks>
    <hyperlink ref="D2" location="'Rear hub drawing'!A1" display="FileLink1"/>
  </hyperlinks>
  <pageMargins left="0.5" right="0.5" top="0.75" bottom="0.75" header="0.3" footer="0.3"/>
  <pageSetup paperSize="9" scale="66" orientation="landscape" r:id="rId1"/>
</worksheet>
</file>

<file path=xl/worksheets/sheet3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39997558519241921"/>
    <pageSetUpPr fitToPage="1"/>
  </sheetPr>
  <dimension ref="A1:N11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6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948" t="s">
        <v>523</v>
      </c>
      <c r="B1" s="161" t="s">
        <v>524</v>
      </c>
      <c r="J1" s="949" t="s">
        <v>528</v>
      </c>
      <c r="K1" s="163">
        <v>81</v>
      </c>
      <c r="M1" s="948" t="s">
        <v>546</v>
      </c>
      <c r="N1" s="336">
        <f>N11</f>
        <v>122.59</v>
      </c>
    </row>
    <row r="2" spans="1:14" x14ac:dyDescent="0.3">
      <c r="A2" s="948" t="s">
        <v>532</v>
      </c>
      <c r="B2" s="161" t="s">
        <v>2923</v>
      </c>
      <c r="D2" s="948" t="s">
        <v>536</v>
      </c>
      <c r="M2" s="948" t="s">
        <v>533</v>
      </c>
      <c r="N2" s="165">
        <v>4</v>
      </c>
    </row>
    <row r="3" spans="1:14" x14ac:dyDescent="0.3">
      <c r="A3" s="948" t="s">
        <v>534</v>
      </c>
      <c r="B3" s="161" t="s">
        <v>518</v>
      </c>
      <c r="D3" s="948" t="s">
        <v>538</v>
      </c>
      <c r="J3" s="948" t="s">
        <v>536</v>
      </c>
    </row>
    <row r="4" spans="1:14" x14ac:dyDescent="0.3">
      <c r="A4" s="948" t="s">
        <v>545</v>
      </c>
      <c r="B4" s="166" t="s">
        <v>516</v>
      </c>
      <c r="D4" s="948" t="s">
        <v>541</v>
      </c>
      <c r="J4" s="948" t="s">
        <v>538</v>
      </c>
      <c r="M4" s="948" t="s">
        <v>539</v>
      </c>
      <c r="N4" s="336">
        <f>N1*N2</f>
        <v>490.36</v>
      </c>
    </row>
    <row r="5" spans="1:14" x14ac:dyDescent="0.3">
      <c r="A5" s="948" t="s">
        <v>537</v>
      </c>
      <c r="B5" s="166" t="s">
        <v>521</v>
      </c>
      <c r="J5" s="948" t="s">
        <v>541</v>
      </c>
    </row>
    <row r="6" spans="1:14" x14ac:dyDescent="0.3">
      <c r="A6" s="948" t="s">
        <v>540</v>
      </c>
      <c r="B6" s="161" t="s">
        <v>36</v>
      </c>
    </row>
    <row r="7" spans="1:14" x14ac:dyDescent="0.3">
      <c r="A7" s="948" t="s">
        <v>542</v>
      </c>
      <c r="B7" s="161" t="s">
        <v>2928</v>
      </c>
    </row>
    <row r="9" spans="1:14" s="178" customFormat="1" x14ac:dyDescent="0.3">
      <c r="A9" s="953" t="s">
        <v>544</v>
      </c>
      <c r="B9" s="953" t="s">
        <v>581</v>
      </c>
      <c r="C9" s="953" t="s">
        <v>549</v>
      </c>
      <c r="D9" s="953" t="s">
        <v>550</v>
      </c>
      <c r="E9" s="953" t="s">
        <v>567</v>
      </c>
      <c r="F9" s="953" t="s">
        <v>568</v>
      </c>
      <c r="G9" s="953" t="s">
        <v>569</v>
      </c>
      <c r="H9" s="953" t="s">
        <v>570</v>
      </c>
      <c r="I9" s="953" t="s">
        <v>582</v>
      </c>
      <c r="J9" s="953" t="s">
        <v>583</v>
      </c>
      <c r="K9" s="953" t="s">
        <v>584</v>
      </c>
      <c r="L9" s="953" t="s">
        <v>585</v>
      </c>
      <c r="M9" s="953" t="s">
        <v>28</v>
      </c>
      <c r="N9" s="953" t="s">
        <v>547</v>
      </c>
    </row>
    <row r="10" spans="1:14" ht="43.2" x14ac:dyDescent="0.3">
      <c r="A10" s="168">
        <v>10</v>
      </c>
      <c r="B10" s="225" t="s">
        <v>2929</v>
      </c>
      <c r="C10" s="168" t="s">
        <v>2930</v>
      </c>
      <c r="D10" s="323">
        <v>122.59</v>
      </c>
      <c r="E10" s="316">
        <v>85</v>
      </c>
      <c r="F10" s="168" t="s">
        <v>573</v>
      </c>
      <c r="G10" s="168">
        <v>13</v>
      </c>
      <c r="H10" s="219" t="s">
        <v>573</v>
      </c>
      <c r="I10" s="269"/>
      <c r="J10" s="227"/>
      <c r="K10" s="228"/>
      <c r="L10" s="219"/>
      <c r="M10" s="222">
        <v>1</v>
      </c>
      <c r="N10" s="322">
        <f>IF(J10="",D10*M10,D10*J10*K10*L10*M10)</f>
        <v>122.59</v>
      </c>
    </row>
    <row r="11" spans="1:14" s="178" customFormat="1" x14ac:dyDescent="0.3">
      <c r="M11" s="954" t="s">
        <v>547</v>
      </c>
      <c r="N11" s="955">
        <f>SUM(N10:N10)</f>
        <v>122.59</v>
      </c>
    </row>
  </sheetData>
  <pageMargins left="0.7" right="0.7" top="0.75" bottom="0.75" header="0.3" footer="0.3"/>
  <pageSetup paperSize="9" scale="68" fitToHeight="0" orientation="landscape" r:id="rId1"/>
</worksheet>
</file>

<file path=xl/worksheets/sheet3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zoomScaleNormal="100" workbookViewId="0"/>
  </sheetViews>
  <sheetFormatPr defaultColWidth="11.5546875" defaultRowHeight="14.4" x14ac:dyDescent="0.3"/>
  <sheetData/>
  <pageMargins left="0.7" right="0.7" top="0.75" bottom="0.75" header="0.3" footer="0.3"/>
  <pageSetup paperSize="9" orientation="landscape" r:id="rId1"/>
  <drawing r:id="rId2"/>
</worksheet>
</file>

<file path=xl/worksheets/sheet3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zoomScale="115" zoomScaleNormal="115" workbookViewId="0"/>
  </sheetViews>
  <sheetFormatPr defaultColWidth="11.5546875" defaultRowHeight="14.4" x14ac:dyDescent="0.3"/>
  <sheetData/>
  <pageMargins left="0.7" right="0.7" top="0.75" bottom="0.75" header="0.3" footer="0.3"/>
  <pageSetup paperSize="9" orientation="landscape" r:id="rId1"/>
  <drawing r:id="rId2"/>
</worksheet>
</file>

<file path=xl/worksheets/sheet3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orientation="landscape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3.109375" style="161" bestFit="1" customWidth="1"/>
    <col min="2" max="2" width="21.6640625" style="161" customWidth="1"/>
    <col min="3" max="3" width="16.88671875" style="161" customWidth="1"/>
    <col min="4" max="4" width="13.5546875" style="161" bestFit="1" customWidth="1"/>
    <col min="5" max="5" width="10.33203125" style="161" customWidth="1"/>
    <col min="6" max="6" width="8.5546875" style="161" customWidth="1"/>
    <col min="7" max="7" width="21.6640625" style="161" customWidth="1"/>
    <col min="8" max="8" width="13.8867187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4.8586258624449092</v>
      </c>
    </row>
    <row r="2" spans="1:14" x14ac:dyDescent="0.3">
      <c r="A2" s="342" t="s">
        <v>532</v>
      </c>
      <c r="B2" s="161" t="s">
        <v>780</v>
      </c>
      <c r="C2" s="359" t="s">
        <v>732</v>
      </c>
      <c r="D2" s="345" t="s">
        <v>536</v>
      </c>
      <c r="M2" s="342" t="s">
        <v>533</v>
      </c>
      <c r="N2" s="165">
        <v>4</v>
      </c>
    </row>
    <row r="3" spans="1:14" x14ac:dyDescent="0.3">
      <c r="A3" s="342" t="s">
        <v>534</v>
      </c>
      <c r="B3" s="161" t="s">
        <v>802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83</v>
      </c>
      <c r="D4" s="342" t="s">
        <v>541</v>
      </c>
      <c r="J4" s="342" t="s">
        <v>538</v>
      </c>
      <c r="M4" s="342" t="s">
        <v>539</v>
      </c>
      <c r="N4" s="336">
        <f>N1*N2</f>
        <v>19.434503449779637</v>
      </c>
    </row>
    <row r="5" spans="1:14" x14ac:dyDescent="0.3">
      <c r="A5" s="342" t="s">
        <v>537</v>
      </c>
      <c r="B5" s="166" t="s">
        <v>82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68" t="s">
        <v>606</v>
      </c>
      <c r="C10" s="168" t="s">
        <v>826</v>
      </c>
      <c r="D10" s="323">
        <v>2.25</v>
      </c>
      <c r="E10" s="168">
        <v>45</v>
      </c>
      <c r="F10" s="168" t="s">
        <v>573</v>
      </c>
      <c r="G10" s="168"/>
      <c r="H10" s="219"/>
      <c r="I10" s="220" t="s">
        <v>827</v>
      </c>
      <c r="J10" s="357">
        <f>E10*E10*PI()/4/1000000</f>
        <v>1.5904312808798326E-3</v>
      </c>
      <c r="K10" s="227">
        <v>2.7E-2</v>
      </c>
      <c r="L10" s="219">
        <v>7800</v>
      </c>
      <c r="M10" s="339">
        <v>1</v>
      </c>
      <c r="N10" s="322">
        <f>IF(J10="",D10*M10,D10*J10*K10*L10*M10)</f>
        <v>0.7536258624449087</v>
      </c>
    </row>
    <row r="11" spans="1:14" s="178" customFormat="1" x14ac:dyDescent="0.3">
      <c r="M11" s="338" t="s">
        <v>547</v>
      </c>
      <c r="N11" s="337">
        <f>SUM(N10:N10)</f>
        <v>0.7536258624449087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95" customHeight="1" x14ac:dyDescent="0.3">
      <c r="A14" s="168">
        <v>10</v>
      </c>
      <c r="B14" s="193" t="s">
        <v>589</v>
      </c>
      <c r="C14" s="171"/>
      <c r="D14" s="323">
        <v>1.3</v>
      </c>
      <c r="E14" s="168" t="s">
        <v>556</v>
      </c>
      <c r="F14" s="168">
        <v>1</v>
      </c>
      <c r="G14" s="184" t="s">
        <v>828</v>
      </c>
      <c r="H14" s="161">
        <v>0.25</v>
      </c>
      <c r="I14" s="323">
        <f>IF('EN 02001'!$H14&lt;&gt;"",'EN 02001'!$D14*'EN 02001'!$F14*'EN 02001'!$H14,'EN 02001'!$D14*'EN 02001'!$F14)</f>
        <v>0.32500000000000001</v>
      </c>
    </row>
    <row r="15" spans="1:14" ht="28.95" customHeight="1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25.2</v>
      </c>
      <c r="G15" s="180" t="s">
        <v>829</v>
      </c>
      <c r="H15" s="168">
        <v>3.75</v>
      </c>
      <c r="I15" s="323">
        <f>IF('EN 02001'!$H16&lt;&gt;"",'EN 02001'!$D15*'EN 02001'!$F15*'EN 02001'!$H15,'EN 02001'!$D15*'EN 02001'!$F15)</f>
        <v>3.7800000000000002</v>
      </c>
    </row>
    <row r="16" spans="1:14" s="178" customFormat="1" x14ac:dyDescent="0.3">
      <c r="H16" s="338" t="s">
        <v>547</v>
      </c>
      <c r="I16" s="337">
        <f>SUM(I14:I15)</f>
        <v>4.1050000000000004</v>
      </c>
    </row>
  </sheetData>
  <hyperlinks>
    <hyperlink ref="D2" location="'Exhaust tip drawing'!A1" display="FileLink1"/>
  </hyperlinks>
  <pageMargins left="0.5" right="0.5" top="0.75" bottom="0.75" header="0.3" footer="0.3"/>
  <pageSetup paperSize="9" scale="64" orientation="landscape" r:id="rId1"/>
</worksheet>
</file>

<file path=xl/worksheets/sheet3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orientation="landscape" r:id="rId1"/>
  <drawing r:id="rId2"/>
</worksheet>
</file>

<file path=xl/worksheets/sheet3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rintOptions gridLines="1"/>
  <pageMargins left="0.7" right="0.7" top="0.75" bottom="0.75" header="0.3" footer="0.3"/>
  <pageSetup paperSize="9" orientation="landscape" r:id="rId1"/>
  <drawing r:id="rId2"/>
</worksheet>
</file>

<file path=xl/worksheets/sheet3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rintOptions gridLines="1"/>
  <pageMargins left="0.7" right="0.7" top="0.75" bottom="0.75" header="0.3" footer="0.3"/>
  <pageSetup paperSize="9" orientation="landscape" r:id="rId1"/>
  <drawing r:id="rId2"/>
</worksheet>
</file>

<file path=xl/worksheets/sheet3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rintOptions gridLines="1"/>
  <pageMargins left="0.7" right="0.7" top="0.75" bottom="0.75" header="0.3" footer="0.3"/>
  <pageSetup paperSize="9" orientation="landscape" r:id="rId1"/>
  <drawing r:id="rId2"/>
</worksheet>
</file>

<file path=xl/worksheets/sheet3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rintOptions gridLines="1"/>
  <pageMargins left="0.7" right="0.7" top="0.75" bottom="0.75" header="0.3" footer="0.3"/>
  <pageSetup paperSize="9" orientation="landscape" r:id="rId1"/>
  <drawing r:id="rId2"/>
</worksheet>
</file>

<file path=xl/worksheets/sheet3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orientation="landscape" r:id="rId1"/>
  <drawing r:id="rId2"/>
</worksheet>
</file>

<file path=xl/worksheets/sheet3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orientation="landscape" r:id="rId1"/>
  <drawing r:id="rId2"/>
</worksheet>
</file>

<file path=xl/worksheets/sheet3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scale="82" orientation="landscape" r:id="rId1"/>
  <drawing r:id="rId2"/>
</worksheet>
</file>

<file path=xl/worksheets/sheet3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scale="82" orientation="landscape" r:id="rId1"/>
  <drawing r:id="rId2"/>
</worksheet>
</file>

<file path=xl/worksheets/sheet3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scale="82" orientation="landscape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0.44140625" style="161" bestFit="1" customWidth="1"/>
    <col min="2" max="2" width="19.44140625" style="161" customWidth="1"/>
    <col min="3" max="3" width="16.88671875" style="161" customWidth="1"/>
    <col min="4" max="4" width="13.6640625" style="161" bestFit="1" customWidth="1"/>
    <col min="5" max="5" width="14.21875" style="161" bestFit="1" customWidth="1"/>
    <col min="6" max="6" width="8.6640625" style="161" customWidth="1"/>
    <col min="7" max="7" width="24.88671875" style="161" customWidth="1"/>
    <col min="8" max="8" width="14" style="161" bestFit="1" customWidth="1"/>
    <col min="9" max="9" width="15.6640625" style="161" bestFit="1" customWidth="1"/>
    <col min="10" max="10" width="11.6640625" style="161" customWidth="1"/>
    <col min="11" max="11" width="10.21875" style="161" bestFit="1" customWidth="1"/>
    <col min="12" max="12" width="11.44140625" style="161" bestFit="1" customWidth="1"/>
    <col min="13" max="13" width="14" style="161" bestFit="1" customWidth="1"/>
    <col min="14" max="14" width="12.332031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1.7349999999999999</v>
      </c>
    </row>
    <row r="2" spans="1:14" x14ac:dyDescent="0.3">
      <c r="A2" s="342" t="s">
        <v>532</v>
      </c>
      <c r="B2" s="161" t="s">
        <v>780</v>
      </c>
      <c r="C2" s="359" t="s">
        <v>732</v>
      </c>
      <c r="D2" s="345" t="s">
        <v>536</v>
      </c>
      <c r="M2" s="342" t="s">
        <v>533</v>
      </c>
      <c r="N2" s="165">
        <v>4</v>
      </c>
    </row>
    <row r="3" spans="1:14" x14ac:dyDescent="0.3">
      <c r="A3" s="342" t="s">
        <v>534</v>
      </c>
      <c r="B3" s="161" t="s">
        <v>802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803</v>
      </c>
      <c r="D4" s="342" t="s">
        <v>541</v>
      </c>
      <c r="J4" s="342" t="s">
        <v>538</v>
      </c>
      <c r="M4" s="342" t="s">
        <v>539</v>
      </c>
      <c r="N4" s="336">
        <f>N1*N2</f>
        <v>6.9399999999999995</v>
      </c>
    </row>
    <row r="5" spans="1:14" x14ac:dyDescent="0.3">
      <c r="A5" s="342" t="s">
        <v>537</v>
      </c>
      <c r="B5" s="166" t="s">
        <v>84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606</v>
      </c>
      <c r="C10" s="168" t="s">
        <v>826</v>
      </c>
      <c r="D10" s="323">
        <v>2.25</v>
      </c>
      <c r="E10" s="168">
        <v>80</v>
      </c>
      <c r="F10" s="168" t="s">
        <v>573</v>
      </c>
      <c r="G10" s="168">
        <v>50</v>
      </c>
      <c r="H10" s="219" t="s">
        <v>573</v>
      </c>
      <c r="I10" s="269" t="s">
        <v>830</v>
      </c>
      <c r="J10" s="227">
        <f>E10*G10/1000000</f>
        <v>4.0000000000000001E-3</v>
      </c>
      <c r="K10" s="227">
        <v>5.0000000000000001E-3</v>
      </c>
      <c r="L10" s="219">
        <v>7800</v>
      </c>
      <c r="M10" s="339">
        <v>1</v>
      </c>
      <c r="N10" s="322">
        <f>IF(J10="",D10*M10,D10*J10*K10*L10*M10)</f>
        <v>0.35100000000000003</v>
      </c>
    </row>
    <row r="11" spans="1:14" s="178" customFormat="1" x14ac:dyDescent="0.3">
      <c r="M11" s="338" t="s">
        <v>547</v>
      </c>
      <c r="N11" s="337">
        <f>SUM(N10:N10)</f>
        <v>0.35100000000000003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s="178" customFormat="1" ht="28.2" customHeight="1" x14ac:dyDescent="0.3">
      <c r="A14" s="171">
        <v>10</v>
      </c>
      <c r="B14" s="315" t="s">
        <v>589</v>
      </c>
      <c r="C14" s="171"/>
      <c r="D14" s="323">
        <v>1.3</v>
      </c>
      <c r="E14" s="171" t="s">
        <v>556</v>
      </c>
      <c r="F14" s="171">
        <v>1</v>
      </c>
      <c r="G14" s="184" t="s">
        <v>828</v>
      </c>
      <c r="H14" s="358">
        <v>0.25</v>
      </c>
      <c r="I14" s="323">
        <f>D14*F14*H14</f>
        <v>0.32500000000000001</v>
      </c>
    </row>
    <row r="15" spans="1:14" x14ac:dyDescent="0.3">
      <c r="A15" s="168">
        <v>20</v>
      </c>
      <c r="B15" s="171" t="s">
        <v>591</v>
      </c>
      <c r="C15" s="171" t="s">
        <v>831</v>
      </c>
      <c r="D15" s="323">
        <v>0.01</v>
      </c>
      <c r="E15" s="168" t="s">
        <v>593</v>
      </c>
      <c r="F15" s="168">
        <v>35.299999999999997</v>
      </c>
      <c r="G15" s="180" t="s">
        <v>598</v>
      </c>
      <c r="H15" s="168">
        <v>3</v>
      </c>
      <c r="I15" s="323">
        <f>IF('EN 02002'!$H15&lt;&gt;"",'EN 02002'!$D15*'EN 02002'!$F15*'EN 02002'!$H15,'EN 02002'!$D15*'EN 02002'!$F15)</f>
        <v>1.0589999999999999</v>
      </c>
    </row>
    <row r="16" spans="1:14" s="178" customFormat="1" x14ac:dyDescent="0.3">
      <c r="H16" s="338" t="s">
        <v>547</v>
      </c>
      <c r="I16" s="337">
        <f>SUM(I14:I15)</f>
        <v>1.3839999999999999</v>
      </c>
    </row>
  </sheetData>
  <hyperlinks>
    <hyperlink ref="D2" location="'Exhaust flange drawing'!A1" display="FileLink1"/>
  </hyperlinks>
  <pageMargins left="0.5" right="0.5" top="0.75" bottom="0.75" header="0.3" footer="0.3"/>
  <pageSetup paperSize="9" scale="68" orientation="landscape" r:id="rId1"/>
</worksheet>
</file>

<file path=xl/worksheets/sheet3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fitToWidth="0" fitToHeight="0" orientation="landscape" r:id="rId1"/>
  <drawing r:id="rId2"/>
</worksheet>
</file>

<file path=xl/worksheets/sheet3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rintOptions gridLines="1"/>
  <pageMargins left="0.7" right="0.7" top="0.75" bottom="0.75" header="0.3" footer="0.3"/>
  <pageSetup paperSize="9" orientation="landscape" horizontalDpi="1200" verticalDpi="1200" r:id="rId1"/>
  <drawing r:id="rId2"/>
</worksheet>
</file>

<file path=xl/worksheets/sheet3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rintOptions gridLines="1"/>
  <pageMargins left="0.7" right="0.7" top="0.75" bottom="0.75" header="0.3" footer="0.3"/>
  <pageSetup paperSize="9" orientation="landscape" horizontalDpi="1200" verticalDpi="1200" r:id="rId1"/>
  <drawing r:id="rId2"/>
</worksheet>
</file>

<file path=xl/worksheets/sheet3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orientation="portrait" r:id="rId1"/>
  <drawing r:id="rId2"/>
</worksheet>
</file>

<file path=xl/worksheets/sheet3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orientation="portrait" r:id="rId1"/>
  <drawing r:id="rId2"/>
</worksheet>
</file>

<file path=xl/worksheets/sheet3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orientation="portrait" r:id="rId1"/>
  <drawing r:id="rId2"/>
</worksheet>
</file>

<file path=xl/worksheets/sheet3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scale="56" orientation="landscape" r:id="rId1"/>
  <drawing r:id="rId2"/>
</worksheet>
</file>

<file path=xl/worksheets/sheet3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scale="56" orientation="landscape" r:id="rId1"/>
  <drawing r:id="rId2"/>
</worksheet>
</file>

<file path=xl/worksheets/sheet3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5" right="0.5" top="0.75" bottom="0.75" header="0.3" footer="0.3"/>
  <pageSetup paperSize="9" scale="57" orientation="landscape" r:id="rId1"/>
  <drawing r:id="rId2"/>
</worksheet>
</file>

<file path=xl/worksheets/sheet3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5" right="0.5" top="0.75" bottom="0.75" header="0.3" footer="0.3"/>
  <pageSetup paperSize="9" scale="79" orientation="landscape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3"/>
  <sheetViews>
    <sheetView showGridLines="0" workbookViewId="0"/>
  </sheetViews>
  <sheetFormatPr defaultColWidth="9.109375" defaultRowHeight="14.4" x14ac:dyDescent="0.3"/>
  <cols>
    <col min="1" max="1" width="12.5546875" style="161" customWidth="1"/>
    <col min="2" max="2" width="22.6640625" style="161" customWidth="1"/>
    <col min="3" max="3" width="16.88671875" style="161" customWidth="1"/>
    <col min="4" max="4" width="12.109375" style="161" customWidth="1"/>
    <col min="5" max="5" width="10.109375" style="161" customWidth="1"/>
    <col min="6" max="6" width="8.88671875" style="161" customWidth="1"/>
    <col min="7" max="7" width="8" style="161" customWidth="1"/>
    <col min="8" max="8" width="13.109375" style="161" customWidth="1"/>
    <col min="9" max="9" width="14.88671875" style="161" customWidth="1"/>
    <col min="10" max="10" width="12.88671875" style="161" customWidth="1"/>
    <col min="11" max="11" width="9.109375" style="161" customWidth="1"/>
    <col min="12" max="12" width="9.33203125" style="161" customWidth="1"/>
    <col min="13" max="13" width="16.88671875" style="161" customWidth="1"/>
    <col min="14" max="14" width="11.10937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N11+I18+I22</f>
        <v>76.747519999999994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802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804</v>
      </c>
      <c r="D4" s="342" t="s">
        <v>541</v>
      </c>
      <c r="J4" s="342" t="s">
        <v>538</v>
      </c>
      <c r="M4" s="342" t="s">
        <v>539</v>
      </c>
      <c r="N4" s="336">
        <f>N1*N2</f>
        <v>76.747519999999994</v>
      </c>
    </row>
    <row r="5" spans="1:14" x14ac:dyDescent="0.3">
      <c r="A5" s="342" t="s">
        <v>537</v>
      </c>
      <c r="B5" s="166" t="s">
        <v>85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832</v>
      </c>
      <c r="C10" s="168" t="s">
        <v>833</v>
      </c>
      <c r="D10" s="323">
        <v>2.25</v>
      </c>
      <c r="E10" s="168"/>
      <c r="F10" s="168"/>
      <c r="G10" s="168"/>
      <c r="H10" s="219"/>
      <c r="I10" s="268" t="s">
        <v>834</v>
      </c>
      <c r="J10" s="227">
        <f>144/1000000</f>
        <v>1.44E-4</v>
      </c>
      <c r="K10" s="219">
        <v>1.6</v>
      </c>
      <c r="L10" s="219">
        <v>7800</v>
      </c>
      <c r="M10" s="339">
        <v>1</v>
      </c>
      <c r="N10" s="322">
        <f>IF(J10="",D10*M10,D10*J10*K10*L10*M10)</f>
        <v>4.04352</v>
      </c>
    </row>
    <row r="11" spans="1:14" s="178" customFormat="1" x14ac:dyDescent="0.3">
      <c r="M11" s="338" t="s">
        <v>547</v>
      </c>
      <c r="N11" s="337">
        <f>SUM(N10:N10)</f>
        <v>4.04352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x14ac:dyDescent="0.3">
      <c r="A14" s="168">
        <v>10</v>
      </c>
      <c r="B14" s="171" t="s">
        <v>835</v>
      </c>
      <c r="C14" s="171"/>
      <c r="D14" s="323">
        <v>0.75</v>
      </c>
      <c r="E14" s="168" t="s">
        <v>704</v>
      </c>
      <c r="F14" s="168">
        <v>8</v>
      </c>
      <c r="G14" s="168"/>
      <c r="H14" s="168"/>
      <c r="I14" s="323">
        <f>IF('EN 02003'!$H14&lt;&gt;"",'EN 02003'!$D14*'EN 02003'!$F14*'EN 02003'!$H14,'EN 02003'!$D14*'EN 02003'!$F14)</f>
        <v>6</v>
      </c>
    </row>
    <row r="15" spans="1:14" x14ac:dyDescent="0.3">
      <c r="A15" s="168">
        <v>20</v>
      </c>
      <c r="B15" s="171" t="s">
        <v>668</v>
      </c>
      <c r="C15" s="171"/>
      <c r="D15" s="323">
        <v>0.15</v>
      </c>
      <c r="E15" s="168" t="s">
        <v>593</v>
      </c>
      <c r="F15" s="168">
        <v>76.8</v>
      </c>
      <c r="G15" s="168"/>
      <c r="H15" s="168"/>
      <c r="I15" s="323">
        <f>F15*D15</f>
        <v>11.52</v>
      </c>
    </row>
    <row r="16" spans="1:14" ht="28.95" customHeight="1" x14ac:dyDescent="0.3">
      <c r="A16" s="168">
        <v>30</v>
      </c>
      <c r="B16" s="193" t="s">
        <v>836</v>
      </c>
      <c r="C16" s="171"/>
      <c r="D16" s="323">
        <v>0.75</v>
      </c>
      <c r="E16" s="168" t="s">
        <v>837</v>
      </c>
      <c r="F16" s="168">
        <v>24</v>
      </c>
      <c r="G16" s="168"/>
      <c r="H16" s="168"/>
      <c r="I16" s="322">
        <f>IF('EN 02003'!$H16&lt;&gt;"",'EN 02003'!$D16*'EN 02003'!$F16*'EN 02003'!$H16,'EN 02003'!$D16*'EN 02003'!$F16)</f>
        <v>18</v>
      </c>
    </row>
    <row r="17" spans="1:9" x14ac:dyDescent="0.3">
      <c r="A17" s="168">
        <v>40</v>
      </c>
      <c r="B17" s="171" t="s">
        <v>838</v>
      </c>
      <c r="C17" s="171"/>
      <c r="D17" s="323">
        <v>0.38</v>
      </c>
      <c r="E17" s="168" t="s">
        <v>593</v>
      </c>
      <c r="F17" s="168">
        <f>32*24/10</f>
        <v>76.8</v>
      </c>
      <c r="G17" s="168"/>
      <c r="H17" s="168"/>
      <c r="I17" s="322">
        <f>IF('EN 02003'!$H17&lt;&gt;"",'EN 02003'!$D17*'EN 02003'!$F17*'EN 02003'!$H17,'EN 02003'!$D17*'EN 02003'!$F17)</f>
        <v>29.183999999999997</v>
      </c>
    </row>
    <row r="18" spans="1:9" s="178" customFormat="1" x14ac:dyDescent="0.3">
      <c r="H18" s="338" t="s">
        <v>547</v>
      </c>
      <c r="I18" s="337">
        <f>SUM(I14:I17)</f>
        <v>64.703999999999994</v>
      </c>
    </row>
    <row r="19" spans="1:9" x14ac:dyDescent="0.3">
      <c r="H19" s="326"/>
      <c r="I19" s="325"/>
    </row>
    <row r="20" spans="1:9" s="178" customFormat="1" x14ac:dyDescent="0.3">
      <c r="A20" s="341" t="s">
        <v>544</v>
      </c>
      <c r="B20" s="341" t="s">
        <v>6</v>
      </c>
      <c r="C20" s="341" t="s">
        <v>549</v>
      </c>
      <c r="D20" s="341" t="s">
        <v>550</v>
      </c>
      <c r="E20" s="341" t="s">
        <v>551</v>
      </c>
      <c r="F20" s="341" t="s">
        <v>28</v>
      </c>
      <c r="G20" s="341" t="s">
        <v>691</v>
      </c>
      <c r="H20" s="341" t="s">
        <v>692</v>
      </c>
      <c r="I20" s="341" t="s">
        <v>547</v>
      </c>
    </row>
    <row r="21" spans="1:9" x14ac:dyDescent="0.3">
      <c r="A21" s="168">
        <v>10</v>
      </c>
      <c r="B21" s="179" t="s">
        <v>693</v>
      </c>
      <c r="C21" s="168"/>
      <c r="D21" s="323">
        <v>500</v>
      </c>
      <c r="E21" s="168" t="s">
        <v>695</v>
      </c>
      <c r="F21" s="168">
        <v>48</v>
      </c>
      <c r="G21" s="168">
        <v>3000</v>
      </c>
      <c r="H21" s="168">
        <v>1</v>
      </c>
      <c r="I21" s="323">
        <f>IF('EN 02003'!$G21&lt;&gt;"",D21*F21/G21*H21,"")</f>
        <v>8</v>
      </c>
    </row>
    <row r="22" spans="1:9" s="178" customFormat="1" x14ac:dyDescent="0.3">
      <c r="H22" s="338" t="s">
        <v>547</v>
      </c>
      <c r="I22" s="337">
        <f>SUM(I21:I21)</f>
        <v>8</v>
      </c>
    </row>
    <row r="23" spans="1:9" x14ac:dyDescent="0.3">
      <c r="H23" s="326"/>
      <c r="I23" s="325"/>
    </row>
  </sheetData>
  <pageMargins left="0.5" right="0.5" top="0.75" bottom="0.75" header="0.3" footer="0.3"/>
  <pageSetup paperSize="9" scale="74" orientation="landscape" r:id="rId1"/>
</worksheet>
</file>

<file path=xl/worksheets/sheet3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ageMargins left="0.78740157499999996" right="0.78740157499999996" top="0.984251969" bottom="0.984251969" header="0.5" footer="0.5"/>
  <headerFooter alignWithMargins="0"/>
  <drawing r:id="rId1"/>
</worksheet>
</file>

<file path=xl/worksheets/sheet3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ageMargins left="0.78740157499999996" right="0.78740157499999996" top="0.984251969" bottom="0.984251969" header="0.5" footer="0.5"/>
  <headerFooter alignWithMargins="0"/>
  <drawing r:id="rId1"/>
</worksheet>
</file>

<file path=xl/worksheets/sheet3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drawing r:id="rId1"/>
</worksheet>
</file>

<file path=xl/worksheets/sheet3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workbookViewId="0"/>
  </sheetViews>
  <sheetFormatPr defaultColWidth="11.5546875" defaultRowHeight="14.4" x14ac:dyDescent="0.3"/>
  <sheetData/>
  <pageMargins left="0.78740157499999996" right="0.78740157499999996" top="0.984251969" bottom="0.984251969" header="0.5" footer="0.5"/>
  <headerFooter alignWithMargins="0"/>
  <drawing r:id="rId1"/>
</worksheet>
</file>

<file path=xl/worksheets/sheet3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scale="75" orientation="landscape" r:id="rId1"/>
  <drawing r:id="rId2"/>
</worksheet>
</file>

<file path=xl/worksheets/sheet3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scale="75" orientation="landscape" r:id="rId1"/>
  <drawing r:id="rId2"/>
</worksheet>
</file>

<file path=xl/worksheets/sheet3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C17:C18"/>
  <sheetViews>
    <sheetView showGridLines="0" workbookViewId="0"/>
  </sheetViews>
  <sheetFormatPr defaultColWidth="11.5546875" defaultRowHeight="14.4" x14ac:dyDescent="0.3"/>
  <sheetData>
    <row r="17" spans="3:3" x14ac:dyDescent="0.3">
      <c r="C17" t="s">
        <v>2679</v>
      </c>
    </row>
    <row r="18" spans="3:3" x14ac:dyDescent="0.3">
      <c r="C18" t="s">
        <v>2680</v>
      </c>
    </row>
  </sheetData>
  <pageMargins left="0.7" right="0.7" top="0.75" bottom="0.75" header="0.3" footer="0.3"/>
  <pageSetup paperSize="9" scale="56" orientation="landscape" r:id="rId1"/>
  <drawing r:id="rId2"/>
</worksheet>
</file>

<file path=xl/worksheets/sheet3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scale="79" orientation="landscape" r:id="rId1"/>
  <drawing r:id="rId2"/>
</worksheet>
</file>

<file path=xl/worksheets/sheet3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workbookViewId="0"/>
  </sheetViews>
  <sheetFormatPr defaultColWidth="11.5546875" defaultRowHeight="14.4" x14ac:dyDescent="0.3"/>
  <sheetData/>
  <pageMargins left="0.7" right="0.7" top="0.75" bottom="0.75" header="0.3" footer="0.3"/>
  <pageSetup paperSize="9" scale="79" orientation="landscape" r:id="rId1"/>
  <drawing r:id="rId2"/>
</worksheet>
</file>

<file path=xl/worksheets/sheet3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zoomScaleNormal="100" workbookViewId="0"/>
  </sheetViews>
  <sheetFormatPr defaultColWidth="11.5546875" defaultRowHeight="14.4" x14ac:dyDescent="0.3"/>
  <sheetData/>
  <pageMargins left="0.5" right="0.5" top="0.75" bottom="0.75" header="0.3" footer="0.3"/>
  <pageSetup paperSize="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4">
    <tabColor rgb="FF000000"/>
  </sheetPr>
  <dimension ref="A1"/>
  <sheetViews>
    <sheetView showGridLines="0" zoomScaleNormal="100" workbookViewId="0">
      <selection activeCell="F21" sqref="F21"/>
    </sheetView>
  </sheetViews>
  <sheetFormatPr defaultColWidth="11.5546875" defaultRowHeight="14.4" x14ac:dyDescent="0.3"/>
  <sheetData/>
  <pageMargins left="0.7" right="0.7" top="0.75" bottom="0.75" header="0.3" footer="0.3"/>
  <pageSetup paperSize="9" orientation="landscape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4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21.88671875" style="161" customWidth="1"/>
    <col min="3" max="3" width="16.88671875" style="161" customWidth="1"/>
    <col min="4" max="4" width="13.5546875" style="161" bestFit="1" customWidth="1"/>
    <col min="5" max="5" width="11.44140625" style="161" customWidth="1"/>
    <col min="6" max="6" width="12" style="161" bestFit="1" customWidth="1"/>
    <col min="7" max="7" width="11.44140625" style="161" customWidth="1"/>
    <col min="8" max="8" width="14.33203125" style="161" customWidth="1"/>
    <col min="9" max="9" width="17.6640625" style="161" customWidth="1"/>
    <col min="10" max="10" width="13" style="161" customWidth="1"/>
    <col min="11" max="11" width="10.44140625" style="161" bestFit="1" customWidth="1"/>
    <col min="12" max="12" width="11.33203125" style="161" bestFit="1" customWidth="1"/>
    <col min="13" max="13" width="18.332031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N12+I19+I23</f>
        <v>77.007181333333335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802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805</v>
      </c>
      <c r="D4" s="342" t="s">
        <v>541</v>
      </c>
      <c r="J4" s="342" t="s">
        <v>538</v>
      </c>
      <c r="M4" s="342" t="s">
        <v>539</v>
      </c>
      <c r="N4" s="336">
        <f>N1*N2</f>
        <v>77.007181333333335</v>
      </c>
    </row>
    <row r="5" spans="1:14" x14ac:dyDescent="0.3">
      <c r="A5" s="342" t="s">
        <v>537</v>
      </c>
      <c r="B5" s="166" t="s">
        <v>86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832</v>
      </c>
      <c r="C10" s="168" t="s">
        <v>839</v>
      </c>
      <c r="D10" s="323">
        <v>2.25</v>
      </c>
      <c r="E10" s="168"/>
      <c r="F10" s="168"/>
      <c r="G10" s="168"/>
      <c r="H10" s="219"/>
      <c r="I10" s="268" t="s">
        <v>834</v>
      </c>
      <c r="J10" s="227">
        <f>144/1000000</f>
        <v>1.44E-4</v>
      </c>
      <c r="K10" s="219">
        <v>0.6</v>
      </c>
      <c r="L10" s="219">
        <v>7800</v>
      </c>
      <c r="M10" s="339">
        <v>1</v>
      </c>
      <c r="N10" s="322">
        <f>IF(J10="",D10*M10,D10*J10*K10*L10*M10)</f>
        <v>1.5163200000000001</v>
      </c>
    </row>
    <row r="11" spans="1:14" ht="28.8" x14ac:dyDescent="0.3">
      <c r="A11" s="168">
        <v>20</v>
      </c>
      <c r="B11" s="168" t="s">
        <v>832</v>
      </c>
      <c r="C11" s="168" t="s">
        <v>839</v>
      </c>
      <c r="D11" s="323">
        <v>2.25</v>
      </c>
      <c r="E11" s="168"/>
      <c r="F11" s="168"/>
      <c r="G11" s="168"/>
      <c r="H11" s="219"/>
      <c r="I11" s="268" t="s">
        <v>840</v>
      </c>
      <c r="J11" s="227">
        <v>1.8200000000000001E-4</v>
      </c>
      <c r="K11" s="219">
        <v>0.08</v>
      </c>
      <c r="L11" s="219">
        <v>7800</v>
      </c>
      <c r="M11" s="339">
        <v>1</v>
      </c>
      <c r="N11" s="322">
        <f>IF(J11="",D11*M11,D11*J11*K11*L11*M11)</f>
        <v>0.25552800000000003</v>
      </c>
    </row>
    <row r="12" spans="1:14" s="178" customFormat="1" x14ac:dyDescent="0.3">
      <c r="M12" s="338" t="s">
        <v>547</v>
      </c>
      <c r="N12" s="337">
        <f>SUM(N10:N11)</f>
        <v>1.7718480000000001</v>
      </c>
    </row>
    <row r="14" spans="1:14" s="178" customFormat="1" x14ac:dyDescent="0.3">
      <c r="A14" s="341" t="s">
        <v>544</v>
      </c>
      <c r="B14" s="341" t="s">
        <v>548</v>
      </c>
      <c r="C14" s="341" t="s">
        <v>549</v>
      </c>
      <c r="D14" s="341" t="s">
        <v>550</v>
      </c>
      <c r="E14" s="341" t="s">
        <v>551</v>
      </c>
      <c r="F14" s="341" t="s">
        <v>28</v>
      </c>
      <c r="G14" s="341" t="s">
        <v>552</v>
      </c>
      <c r="H14" s="341" t="s">
        <v>553</v>
      </c>
      <c r="I14" s="341" t="s">
        <v>547</v>
      </c>
    </row>
    <row r="15" spans="1:14" x14ac:dyDescent="0.3">
      <c r="A15" s="168">
        <v>10</v>
      </c>
      <c r="B15" s="171" t="s">
        <v>835</v>
      </c>
      <c r="C15" s="171"/>
      <c r="D15" s="323">
        <v>0.75</v>
      </c>
      <c r="E15" s="168" t="s">
        <v>704</v>
      </c>
      <c r="F15" s="168">
        <v>15</v>
      </c>
      <c r="G15" s="168"/>
      <c r="H15" s="168"/>
      <c r="I15" s="323">
        <f>IF('EN 02004'!$H15&lt;&gt;"",'EN 02004'!$D15*'EN 02004'!$F15*'EN 02004'!$H15,'EN 02004'!$D15*'EN 02004'!$F15)</f>
        <v>11.25</v>
      </c>
    </row>
    <row r="16" spans="1:14" x14ac:dyDescent="0.3">
      <c r="A16" s="168">
        <v>20</v>
      </c>
      <c r="B16" s="171" t="s">
        <v>668</v>
      </c>
      <c r="C16" s="171"/>
      <c r="D16" s="323">
        <v>0.15</v>
      </c>
      <c r="E16" s="168" t="s">
        <v>593</v>
      </c>
      <c r="F16" s="168">
        <f>30*3.2</f>
        <v>96</v>
      </c>
      <c r="G16" s="168"/>
      <c r="H16" s="168"/>
      <c r="I16" s="323">
        <f>F16*D16</f>
        <v>14.399999999999999</v>
      </c>
    </row>
    <row r="17" spans="1:9" ht="30" customHeight="1" x14ac:dyDescent="0.3">
      <c r="A17" s="168">
        <v>30</v>
      </c>
      <c r="B17" s="193" t="s">
        <v>836</v>
      </c>
      <c r="C17" s="171"/>
      <c r="D17" s="323">
        <v>0.75</v>
      </c>
      <c r="E17" s="168" t="s">
        <v>837</v>
      </c>
      <c r="F17" s="168">
        <v>22</v>
      </c>
      <c r="G17" s="168"/>
      <c r="H17" s="168"/>
      <c r="I17" s="322">
        <f>IF('EN 02004'!$H17&lt;&gt;"",'EN 02004'!$D17*'EN 02004'!$F17*'EN 02004'!$H17,'EN 02004'!$D17*'EN 02004'!$F17)</f>
        <v>16.5</v>
      </c>
    </row>
    <row r="18" spans="1:9" x14ac:dyDescent="0.3">
      <c r="A18" s="168">
        <v>40</v>
      </c>
      <c r="B18" s="171" t="s">
        <v>838</v>
      </c>
      <c r="C18" s="171"/>
      <c r="D18" s="323">
        <v>0.38</v>
      </c>
      <c r="E18" s="168" t="s">
        <v>593</v>
      </c>
      <c r="F18" s="168">
        <f>22*3.2</f>
        <v>70.400000000000006</v>
      </c>
      <c r="G18" s="168"/>
      <c r="H18" s="168"/>
      <c r="I18" s="322">
        <f>IF('EN 02004'!$H18&lt;&gt;"",'EN 02004'!$D18*'EN 02004'!$F18*'EN 02004'!$H18,'EN 02004'!$D18*'EN 02004'!$F18)</f>
        <v>26.752000000000002</v>
      </c>
    </row>
    <row r="19" spans="1:9" s="178" customFormat="1" x14ac:dyDescent="0.3">
      <c r="H19" s="338" t="s">
        <v>547</v>
      </c>
      <c r="I19" s="337">
        <f>SUM(I15:I18)</f>
        <v>68.902000000000001</v>
      </c>
    </row>
    <row r="20" spans="1:9" x14ac:dyDescent="0.3">
      <c r="H20" s="326"/>
      <c r="I20" s="325"/>
    </row>
    <row r="21" spans="1:9" s="178" customFormat="1" x14ac:dyDescent="0.3">
      <c r="A21" s="341" t="s">
        <v>544</v>
      </c>
      <c r="B21" s="341" t="s">
        <v>6</v>
      </c>
      <c r="C21" s="341" t="s">
        <v>549</v>
      </c>
      <c r="D21" s="341" t="s">
        <v>550</v>
      </c>
      <c r="E21" s="341" t="s">
        <v>551</v>
      </c>
      <c r="F21" s="341" t="s">
        <v>28</v>
      </c>
      <c r="G21" s="341" t="s">
        <v>691</v>
      </c>
      <c r="H21" s="341" t="s">
        <v>692</v>
      </c>
      <c r="I21" s="341" t="s">
        <v>547</v>
      </c>
    </row>
    <row r="22" spans="1:9" x14ac:dyDescent="0.3">
      <c r="A22" s="168">
        <v>10</v>
      </c>
      <c r="B22" s="179" t="s">
        <v>693</v>
      </c>
      <c r="C22" s="168"/>
      <c r="D22" s="323">
        <v>500</v>
      </c>
      <c r="E22" s="168" t="s">
        <v>695</v>
      </c>
      <c r="F22" s="168">
        <v>38</v>
      </c>
      <c r="G22" s="168">
        <v>3000</v>
      </c>
      <c r="H22" s="168">
        <v>1</v>
      </c>
      <c r="I22" s="323">
        <f>IF('EN 02004'!$G22&lt;&gt;"",D22*F22/G22*H22,"")</f>
        <v>6.333333333333333</v>
      </c>
    </row>
    <row r="23" spans="1:9" s="178" customFormat="1" x14ac:dyDescent="0.3">
      <c r="H23" s="338" t="s">
        <v>547</v>
      </c>
      <c r="I23" s="337">
        <f>SUM(I22:I22)</f>
        <v>6.333333333333333</v>
      </c>
    </row>
    <row r="24" spans="1:9" x14ac:dyDescent="0.3">
      <c r="H24" s="326"/>
      <c r="I24" s="325"/>
    </row>
  </sheetData>
  <pageMargins left="0.5" right="0.5" top="0.75" bottom="0.75" header="0.3" footer="0.3"/>
  <pageSetup paperSize="9" scale="67" orientation="landscape" r:id="rId1"/>
</worksheet>
</file>

<file path=xl/worksheets/sheet4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zoomScale="115" zoomScaleNormal="115" workbookViewId="0"/>
  </sheetViews>
  <sheetFormatPr defaultColWidth="11.5546875" defaultRowHeight="14.4" x14ac:dyDescent="0.3"/>
  <sheetData/>
  <pageMargins left="0.5" right="0.5" top="0.75" bottom="0.75" header="0.3" footer="0.3"/>
  <pageSetup paperSize="9" scale="56" orientation="landscape" r:id="rId1"/>
  <drawing r:id="rId2"/>
</worksheet>
</file>

<file path=xl/worksheets/sheet4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  <pageSetUpPr fitToPage="1"/>
  </sheetPr>
  <dimension ref="A1"/>
  <sheetViews>
    <sheetView showGridLines="0" zoomScaleNormal="100" workbookViewId="0"/>
  </sheetViews>
  <sheetFormatPr defaultColWidth="11.5546875" defaultRowHeight="14.4" x14ac:dyDescent="0.3"/>
  <sheetData/>
  <pageMargins left="0.7" right="0.7" top="0.75" bottom="0.75" header="0.3" footer="0.3"/>
  <pageSetup paperSize="9" scale="63" orientation="landscape" r:id="rId1"/>
  <drawing r:id="rId2"/>
</worksheet>
</file>

<file path=xl/worksheets/sheet4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zoomScaleNormal="100" workbookViewId="0"/>
  </sheetViews>
  <sheetFormatPr defaultColWidth="11.5546875" defaultRowHeight="14.4" x14ac:dyDescent="0.3"/>
  <sheetData/>
  <pageMargins left="0.7" right="0.7" top="0.75" bottom="0.75" header="0.3" footer="0.3"/>
  <drawing r:id="rId1"/>
</worksheet>
</file>

<file path=xl/worksheets/sheet4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zoomScale="115" zoomScaleNormal="115" workbookViewId="0"/>
  </sheetViews>
  <sheetFormatPr defaultColWidth="11.5546875" defaultRowHeight="14.4" x14ac:dyDescent="0.3"/>
  <sheetData/>
  <pageMargins left="0.7" right="0.7" top="0.75" bottom="0.75" header="0.3" footer="0.3"/>
  <drawing r:id="rId1"/>
</worksheet>
</file>

<file path=xl/worksheets/sheet4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249977111117893"/>
  </sheetPr>
  <dimension ref="A1"/>
  <sheetViews>
    <sheetView showGridLines="0" zoomScaleNormal="100" workbookViewId="0"/>
  </sheetViews>
  <sheetFormatPr defaultColWidth="11.5546875" defaultRowHeight="14.4" x14ac:dyDescent="0.3"/>
  <sheetData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1"/>
  <sheetViews>
    <sheetView showGridLines="0" workbookViewId="0"/>
  </sheetViews>
  <sheetFormatPr defaultColWidth="9.109375" defaultRowHeight="14.4" x14ac:dyDescent="0.3"/>
  <cols>
    <col min="1" max="1" width="11.33203125" style="161" bestFit="1" customWidth="1"/>
    <col min="2" max="2" width="21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7.66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441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N12+I21+I30+J26</f>
        <v>45.102123333333331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802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806</v>
      </c>
      <c r="D4" s="342" t="s">
        <v>541</v>
      </c>
      <c r="J4" s="342" t="s">
        <v>538</v>
      </c>
      <c r="M4" s="342" t="s">
        <v>539</v>
      </c>
      <c r="N4" s="336">
        <f>N1*N2</f>
        <v>45.102123333333331</v>
      </c>
    </row>
    <row r="5" spans="1:14" x14ac:dyDescent="0.3">
      <c r="A5" s="342" t="s">
        <v>537</v>
      </c>
      <c r="B5" s="166" t="s">
        <v>87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832</v>
      </c>
      <c r="C10" s="168" t="s">
        <v>839</v>
      </c>
      <c r="D10" s="323">
        <v>2.25</v>
      </c>
      <c r="E10" s="168"/>
      <c r="F10" s="168"/>
      <c r="G10" s="168"/>
      <c r="H10" s="219"/>
      <c r="I10" s="268" t="s">
        <v>840</v>
      </c>
      <c r="J10" s="227">
        <v>1.8200000000000001E-4</v>
      </c>
      <c r="K10" s="219">
        <v>0.3</v>
      </c>
      <c r="L10" s="219">
        <v>7800</v>
      </c>
      <c r="M10" s="339">
        <v>1</v>
      </c>
      <c r="N10" s="322">
        <f>IF(J10="",D10*M10,D10*J10*K10*L10*M10)</f>
        <v>0.95823000000000003</v>
      </c>
    </row>
    <row r="11" spans="1:14" ht="28.8" x14ac:dyDescent="0.3">
      <c r="A11" s="168">
        <v>20</v>
      </c>
      <c r="B11" s="168" t="s">
        <v>832</v>
      </c>
      <c r="C11" s="168" t="s">
        <v>839</v>
      </c>
      <c r="D11" s="323">
        <v>2.25</v>
      </c>
      <c r="E11" s="168"/>
      <c r="F11" s="168"/>
      <c r="G11" s="168"/>
      <c r="H11" s="219"/>
      <c r="I11" s="268" t="s">
        <v>841</v>
      </c>
      <c r="J11" s="227">
        <v>2.2800000000000001E-4</v>
      </c>
      <c r="K11" s="219">
        <v>0.4</v>
      </c>
      <c r="L11" s="219">
        <v>7800</v>
      </c>
      <c r="M11" s="339">
        <v>1</v>
      </c>
      <c r="N11" s="322">
        <f>IF(J11="",D11*M11,D11*J11*K11*L11*M11)</f>
        <v>1.60056</v>
      </c>
    </row>
    <row r="12" spans="1:14" s="178" customFormat="1" x14ac:dyDescent="0.3">
      <c r="M12" s="338" t="s">
        <v>547</v>
      </c>
      <c r="N12" s="337">
        <f>SUM(N10:N11)</f>
        <v>2.5587900000000001</v>
      </c>
    </row>
    <row r="14" spans="1:14" s="178" customFormat="1" x14ac:dyDescent="0.3">
      <c r="A14" s="341" t="s">
        <v>544</v>
      </c>
      <c r="B14" s="341" t="s">
        <v>548</v>
      </c>
      <c r="C14" s="341" t="s">
        <v>549</v>
      </c>
      <c r="D14" s="341" t="s">
        <v>550</v>
      </c>
      <c r="E14" s="341" t="s">
        <v>551</v>
      </c>
      <c r="F14" s="341" t="s">
        <v>28</v>
      </c>
      <c r="G14" s="341" t="s">
        <v>552</v>
      </c>
      <c r="H14" s="341" t="s">
        <v>553</v>
      </c>
      <c r="I14" s="341" t="s">
        <v>547</v>
      </c>
    </row>
    <row r="15" spans="1:14" x14ac:dyDescent="0.3">
      <c r="A15" s="168">
        <v>10</v>
      </c>
      <c r="B15" s="171" t="s">
        <v>835</v>
      </c>
      <c r="C15" s="171"/>
      <c r="D15" s="323">
        <v>0.75</v>
      </c>
      <c r="E15" s="168" t="s">
        <v>704</v>
      </c>
      <c r="F15" s="168">
        <v>2</v>
      </c>
      <c r="G15" s="168"/>
      <c r="H15" s="168"/>
      <c r="I15" s="323">
        <f>IF('EN 02005'!$H15&lt;&gt;"",'EN 02005'!$D15*'EN 02005'!$F15*'EN 02005'!$H15,'EN 02005'!$D15*'EN 02005'!$F15)</f>
        <v>1.5</v>
      </c>
    </row>
    <row r="16" spans="1:14" x14ac:dyDescent="0.3">
      <c r="A16" s="168">
        <v>20</v>
      </c>
      <c r="B16" s="171" t="s">
        <v>668</v>
      </c>
      <c r="C16" s="171"/>
      <c r="D16" s="323">
        <v>0.15</v>
      </c>
      <c r="E16" s="168" t="s">
        <v>593</v>
      </c>
      <c r="F16" s="168">
        <f>6*4+6*5</f>
        <v>54</v>
      </c>
      <c r="G16" s="168"/>
      <c r="H16" s="168"/>
      <c r="I16" s="323">
        <f>F16*D16</f>
        <v>8.1</v>
      </c>
    </row>
    <row r="17" spans="1:10" ht="28.8" x14ac:dyDescent="0.3">
      <c r="A17" s="168">
        <v>30</v>
      </c>
      <c r="B17" s="348" t="s">
        <v>791</v>
      </c>
      <c r="C17" s="171" t="s">
        <v>842</v>
      </c>
      <c r="D17" s="243">
        <v>0.35</v>
      </c>
      <c r="E17" s="180" t="s">
        <v>843</v>
      </c>
      <c r="F17" s="168">
        <v>1</v>
      </c>
      <c r="G17" s="168"/>
      <c r="H17" s="168"/>
      <c r="I17" s="323">
        <f>F17*D17</f>
        <v>0.35</v>
      </c>
    </row>
    <row r="18" spans="1:10" x14ac:dyDescent="0.3">
      <c r="A18" s="168">
        <v>40</v>
      </c>
      <c r="B18" s="180" t="s">
        <v>650</v>
      </c>
      <c r="C18" s="171" t="s">
        <v>844</v>
      </c>
      <c r="D18" s="243">
        <v>0.15</v>
      </c>
      <c r="E18" s="180" t="s">
        <v>593</v>
      </c>
      <c r="F18" s="168">
        <v>4</v>
      </c>
      <c r="G18" s="168"/>
      <c r="H18" s="168"/>
      <c r="I18" s="323">
        <f>F18*D18</f>
        <v>0.6</v>
      </c>
    </row>
    <row r="19" spans="1:10" ht="30" customHeight="1" x14ac:dyDescent="0.3">
      <c r="A19" s="168">
        <v>50</v>
      </c>
      <c r="B19" s="193" t="s">
        <v>836</v>
      </c>
      <c r="C19" s="171"/>
      <c r="D19" s="323">
        <v>0.75</v>
      </c>
      <c r="E19" s="168" t="s">
        <v>837</v>
      </c>
      <c r="F19" s="168">
        <v>13</v>
      </c>
      <c r="G19" s="168"/>
      <c r="H19" s="168"/>
      <c r="I19" s="323">
        <f>F19*D19</f>
        <v>9.75</v>
      </c>
    </row>
    <row r="20" spans="1:10" x14ac:dyDescent="0.3">
      <c r="A20" s="168">
        <v>60</v>
      </c>
      <c r="B20" s="171" t="s">
        <v>838</v>
      </c>
      <c r="C20" s="171"/>
      <c r="D20" s="323">
        <v>0.38</v>
      </c>
      <c r="E20" s="168" t="s">
        <v>593</v>
      </c>
      <c r="F20" s="168">
        <f>4*4+5*5</f>
        <v>41</v>
      </c>
      <c r="G20" s="168"/>
      <c r="H20" s="168"/>
      <c r="I20" s="323">
        <f>F20*D20</f>
        <v>15.58</v>
      </c>
    </row>
    <row r="21" spans="1:10" s="178" customFormat="1" x14ac:dyDescent="0.3">
      <c r="H21" s="338" t="s">
        <v>547</v>
      </c>
      <c r="I21" s="337">
        <f>SUM(I15:I20)</f>
        <v>35.879999999999995</v>
      </c>
    </row>
    <row r="22" spans="1:10" s="178" customFormat="1" x14ac:dyDescent="0.3">
      <c r="H22" s="359"/>
      <c r="I22" s="360"/>
    </row>
    <row r="23" spans="1:10" s="178" customFormat="1" x14ac:dyDescent="0.3">
      <c r="H23" s="359"/>
      <c r="I23" s="360"/>
    </row>
    <row r="24" spans="1:10" x14ac:dyDescent="0.3">
      <c r="A24" s="341" t="s">
        <v>544</v>
      </c>
      <c r="B24" s="341" t="s">
        <v>566</v>
      </c>
      <c r="C24" s="341" t="s">
        <v>549</v>
      </c>
      <c r="D24" s="341" t="s">
        <v>550</v>
      </c>
      <c r="E24" s="341" t="s">
        <v>567</v>
      </c>
      <c r="F24" s="341" t="s">
        <v>568</v>
      </c>
      <c r="G24" s="341" t="s">
        <v>569</v>
      </c>
      <c r="H24" s="341" t="s">
        <v>570</v>
      </c>
      <c r="I24" s="341" t="s">
        <v>28</v>
      </c>
      <c r="J24" s="341" t="s">
        <v>547</v>
      </c>
    </row>
    <row r="25" spans="1:10" s="178" customFormat="1" x14ac:dyDescent="0.3">
      <c r="A25" s="168">
        <v>10</v>
      </c>
      <c r="B25" s="356" t="s">
        <v>618</v>
      </c>
      <c r="C25" s="168" t="s">
        <v>845</v>
      </c>
      <c r="D25" s="168">
        <v>0.33</v>
      </c>
      <c r="E25" s="168">
        <v>18</v>
      </c>
      <c r="F25" s="189" t="s">
        <v>573</v>
      </c>
      <c r="G25" s="168"/>
      <c r="H25" s="171"/>
      <c r="I25" s="188">
        <v>1</v>
      </c>
      <c r="J25" s="170">
        <f>D25*I25</f>
        <v>0.33</v>
      </c>
    </row>
    <row r="26" spans="1:10" x14ac:dyDescent="0.3">
      <c r="A26" s="178"/>
      <c r="B26" s="178"/>
      <c r="C26" s="178"/>
      <c r="D26" s="178"/>
      <c r="E26" s="178"/>
      <c r="F26" s="178"/>
      <c r="G26" s="178"/>
      <c r="H26" s="178"/>
      <c r="I26" s="338" t="s">
        <v>547</v>
      </c>
      <c r="J26" s="337">
        <f>SUM(J25:J25)</f>
        <v>0.33</v>
      </c>
    </row>
    <row r="27" spans="1:10" x14ac:dyDescent="0.3">
      <c r="H27" s="326"/>
      <c r="I27" s="325"/>
    </row>
    <row r="28" spans="1:10" x14ac:dyDescent="0.3">
      <c r="A28" s="341" t="s">
        <v>544</v>
      </c>
      <c r="B28" s="341" t="s">
        <v>6</v>
      </c>
      <c r="C28" s="341" t="s">
        <v>549</v>
      </c>
      <c r="D28" s="341" t="s">
        <v>550</v>
      </c>
      <c r="E28" s="341" t="s">
        <v>551</v>
      </c>
      <c r="F28" s="341" t="s">
        <v>28</v>
      </c>
      <c r="G28" s="341" t="s">
        <v>691</v>
      </c>
      <c r="H28" s="341" t="s">
        <v>692</v>
      </c>
      <c r="I28" s="341" t="s">
        <v>547</v>
      </c>
      <c r="J28" s="178"/>
    </row>
    <row r="29" spans="1:10" x14ac:dyDescent="0.3">
      <c r="A29" s="168">
        <v>10</v>
      </c>
      <c r="B29" s="179" t="s">
        <v>693</v>
      </c>
      <c r="C29" s="168"/>
      <c r="D29" s="323">
        <v>500</v>
      </c>
      <c r="E29" s="168" t="s">
        <v>695</v>
      </c>
      <c r="F29" s="168">
        <v>38</v>
      </c>
      <c r="G29" s="168">
        <v>3000</v>
      </c>
      <c r="H29" s="168">
        <v>1</v>
      </c>
      <c r="I29" s="323">
        <f>IF('EN 02005'!$G29&lt;&gt;"",D29*F29/G29*H29,"")</f>
        <v>6.333333333333333</v>
      </c>
    </row>
    <row r="30" spans="1:10" x14ac:dyDescent="0.3">
      <c r="A30" s="178"/>
      <c r="B30" s="178"/>
      <c r="C30" s="178"/>
      <c r="D30" s="178"/>
      <c r="E30" s="178"/>
      <c r="F30" s="178"/>
      <c r="G30" s="178"/>
      <c r="H30" s="338" t="s">
        <v>547</v>
      </c>
      <c r="I30" s="337">
        <f>SUM(I29:I29)</f>
        <v>6.333333333333333</v>
      </c>
      <c r="J30" s="178"/>
    </row>
    <row r="31" spans="1:10" x14ac:dyDescent="0.3">
      <c r="H31" s="326"/>
      <c r="I31" s="325"/>
    </row>
  </sheetData>
  <pageMargins left="0.5" right="0.5" top="0.75" bottom="0.75" header="0.3" footer="0.3"/>
  <pageSetup paperSize="9" scale="67" orientation="landscape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6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25.44140625" style="161" customWidth="1"/>
    <col min="3" max="3" width="21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2.332031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8.88671875" style="161" customWidth="1"/>
    <col min="13" max="13" width="17.441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N13+I22+J26</f>
        <v>41.004999999999995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802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89</v>
      </c>
      <c r="D4" s="342" t="s">
        <v>541</v>
      </c>
      <c r="J4" s="342" t="s">
        <v>538</v>
      </c>
      <c r="M4" s="342" t="s">
        <v>539</v>
      </c>
      <c r="N4" s="336">
        <f>N1*N2</f>
        <v>41.004999999999995</v>
      </c>
    </row>
    <row r="5" spans="1:14" x14ac:dyDescent="0.3">
      <c r="A5" s="342" t="s">
        <v>537</v>
      </c>
      <c r="B5" s="166" t="s">
        <v>88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846</v>
      </c>
      <c r="C10" s="168" t="s">
        <v>847</v>
      </c>
      <c r="D10" s="323">
        <v>22</v>
      </c>
      <c r="E10" s="168">
        <v>0.5</v>
      </c>
      <c r="F10" s="168" t="s">
        <v>644</v>
      </c>
      <c r="G10" s="168">
        <v>0.4</v>
      </c>
      <c r="H10" s="219" t="s">
        <v>644</v>
      </c>
      <c r="I10" s="269" t="s">
        <v>848</v>
      </c>
      <c r="J10" s="361">
        <f>E10*G10</f>
        <v>0.2</v>
      </c>
      <c r="K10" s="219"/>
      <c r="L10" s="219"/>
      <c r="M10" s="339">
        <v>4510</v>
      </c>
      <c r="N10" s="322">
        <f>E10*D10</f>
        <v>11</v>
      </c>
    </row>
    <row r="11" spans="1:14" ht="28.8" x14ac:dyDescent="0.3">
      <c r="A11" s="168">
        <v>20</v>
      </c>
      <c r="B11" s="168" t="s">
        <v>606</v>
      </c>
      <c r="C11" s="168"/>
      <c r="D11" s="323">
        <v>2.25</v>
      </c>
      <c r="E11" s="168">
        <v>0.5</v>
      </c>
      <c r="F11" s="168" t="s">
        <v>644</v>
      </c>
      <c r="G11" s="168">
        <v>0.15</v>
      </c>
      <c r="H11" s="219" t="s">
        <v>644</v>
      </c>
      <c r="I11" s="269" t="s">
        <v>849</v>
      </c>
      <c r="J11" s="332">
        <f>E11*G11</f>
        <v>7.4999999999999997E-2</v>
      </c>
      <c r="K11" s="219"/>
      <c r="L11" s="219"/>
      <c r="M11" s="339">
        <v>7800</v>
      </c>
      <c r="N11" s="322">
        <f>E11*D11</f>
        <v>1.125</v>
      </c>
    </row>
    <row r="12" spans="1:14" x14ac:dyDescent="0.3">
      <c r="A12" s="168">
        <v>30</v>
      </c>
      <c r="B12" s="168" t="s">
        <v>850</v>
      </c>
      <c r="C12" s="168"/>
      <c r="D12" s="168">
        <v>3.0000000000000001E-3</v>
      </c>
      <c r="E12" s="168">
        <v>4000</v>
      </c>
      <c r="F12" s="168" t="s">
        <v>610</v>
      </c>
      <c r="G12" s="168"/>
      <c r="H12" s="219"/>
      <c r="I12" s="220"/>
      <c r="J12" s="221"/>
      <c r="K12" s="219"/>
      <c r="L12" s="219"/>
      <c r="M12" s="339"/>
      <c r="N12" s="322">
        <f>E12*D12</f>
        <v>12</v>
      </c>
    </row>
    <row r="13" spans="1:14" s="178" customFormat="1" x14ac:dyDescent="0.3">
      <c r="M13" s="338" t="s">
        <v>547</v>
      </c>
      <c r="N13" s="337">
        <f>SUM(N10:N12)</f>
        <v>24.125</v>
      </c>
    </row>
    <row r="15" spans="1:14" s="178" customFormat="1" x14ac:dyDescent="0.3">
      <c r="A15" s="341" t="s">
        <v>544</v>
      </c>
      <c r="B15" s="341" t="s">
        <v>548</v>
      </c>
      <c r="C15" s="341" t="s">
        <v>549</v>
      </c>
      <c r="D15" s="341" t="s">
        <v>550</v>
      </c>
      <c r="E15" s="341" t="s">
        <v>551</v>
      </c>
      <c r="F15" s="341" t="s">
        <v>28</v>
      </c>
      <c r="G15" s="341" t="s">
        <v>552</v>
      </c>
      <c r="H15" s="341" t="s">
        <v>553</v>
      </c>
      <c r="I15" s="341" t="s">
        <v>547</v>
      </c>
    </row>
    <row r="16" spans="1:14" x14ac:dyDescent="0.3">
      <c r="A16" s="168">
        <v>10</v>
      </c>
      <c r="B16" s="180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323">
        <f>IF('EN 02006'!$H16&lt;&gt;"",'EN 02006'!$D16*'EN 02006'!$F16*'EN 02006'!$H16,'EN 02006'!$D16*'EN 02006'!$F16)</f>
        <v>0.5</v>
      </c>
    </row>
    <row r="17" spans="1:10" x14ac:dyDescent="0.3">
      <c r="A17" s="168">
        <v>20</v>
      </c>
      <c r="B17" s="350" t="s">
        <v>702</v>
      </c>
      <c r="C17" s="171"/>
      <c r="D17" s="323">
        <v>0.25</v>
      </c>
      <c r="E17" s="168" t="s">
        <v>704</v>
      </c>
      <c r="F17" s="168">
        <v>2</v>
      </c>
      <c r="G17" s="168"/>
      <c r="H17" s="168"/>
      <c r="I17" s="322">
        <f>IF('EN 02006'!$H17&lt;&gt;"",'EN 02006'!$D17*'EN 02006'!$F17*'EN 02006'!$H17,'EN 02006'!$D17*'EN 02006'!$F17)</f>
        <v>0.5</v>
      </c>
    </row>
    <row r="18" spans="1:10" x14ac:dyDescent="0.3">
      <c r="A18" s="168">
        <v>30</v>
      </c>
      <c r="B18" s="171" t="s">
        <v>851</v>
      </c>
      <c r="C18" s="171"/>
      <c r="D18" s="323">
        <v>0.03</v>
      </c>
      <c r="E18" s="168" t="s">
        <v>852</v>
      </c>
      <c r="F18" s="168">
        <v>300</v>
      </c>
      <c r="G18" s="168"/>
      <c r="H18" s="168"/>
      <c r="I18" s="322">
        <f>IF('EN 02006'!$H18&lt;&gt;"",'EN 02006'!$D18*'EN 02006'!$F18*'EN 02006'!$H18,'EN 02006'!$D18*'EN 02006'!$F18)</f>
        <v>9</v>
      </c>
    </row>
    <row r="19" spans="1:10" x14ac:dyDescent="0.3">
      <c r="A19" s="168">
        <v>40</v>
      </c>
      <c r="B19" s="171" t="s">
        <v>853</v>
      </c>
      <c r="C19" s="171"/>
      <c r="D19" s="323">
        <v>0.03</v>
      </c>
      <c r="E19" s="168" t="s">
        <v>852</v>
      </c>
      <c r="F19" s="168">
        <v>100</v>
      </c>
      <c r="G19" s="168"/>
      <c r="H19" s="168"/>
      <c r="I19" s="322">
        <f>IF('EN 02006'!$H19&lt;&gt;"",'EN 02006'!$D19*'EN 02006'!$F19*'EN 02006'!$H19,'EN 02006'!$D19*'EN 02006'!$F19)</f>
        <v>3</v>
      </c>
    </row>
    <row r="20" spans="1:10" s="248" customFormat="1" x14ac:dyDescent="0.3">
      <c r="A20" s="184">
        <v>50</v>
      </c>
      <c r="B20" s="180" t="s">
        <v>749</v>
      </c>
      <c r="C20" s="193"/>
      <c r="D20" s="362">
        <v>0.13</v>
      </c>
      <c r="E20" s="184" t="s">
        <v>556</v>
      </c>
      <c r="F20" s="184">
        <v>4</v>
      </c>
      <c r="G20" s="184"/>
      <c r="H20" s="184"/>
      <c r="I20" s="363">
        <f>IF('EN 02006'!$H20&lt;&gt;"",'EN 02006'!$D20*'EN 02006'!$F20*'EN 02006'!$H20,'EN 02006'!$D20*'EN 02006'!$F20)</f>
        <v>0.52</v>
      </c>
    </row>
    <row r="21" spans="1:10" x14ac:dyDescent="0.3">
      <c r="A21" s="168">
        <v>60</v>
      </c>
      <c r="B21" s="180" t="s">
        <v>656</v>
      </c>
      <c r="C21" s="171"/>
      <c r="D21" s="323">
        <v>0.25</v>
      </c>
      <c r="E21" s="168" t="s">
        <v>556</v>
      </c>
      <c r="F21" s="168">
        <v>12</v>
      </c>
      <c r="G21" s="168"/>
      <c r="H21" s="168"/>
      <c r="I21" s="322">
        <f>IF('EN 02006'!$H21&lt;&gt;"",'EN 02006'!$D21*'EN 02006'!$F21*'EN 02006'!$H21,'EN 02006'!$D21*'EN 02006'!$F21)</f>
        <v>3</v>
      </c>
    </row>
    <row r="22" spans="1:10" s="178" customFormat="1" x14ac:dyDescent="0.3">
      <c r="H22" s="338" t="s">
        <v>547</v>
      </c>
      <c r="I22" s="337">
        <f>SUM(I16:I21)</f>
        <v>16.52</v>
      </c>
    </row>
    <row r="24" spans="1:10" s="178" customFormat="1" x14ac:dyDescent="0.3">
      <c r="A24" s="341" t="s">
        <v>544</v>
      </c>
      <c r="B24" s="341" t="s">
        <v>566</v>
      </c>
      <c r="C24" s="341" t="s">
        <v>549</v>
      </c>
      <c r="D24" s="341" t="s">
        <v>550</v>
      </c>
      <c r="E24" s="341" t="s">
        <v>567</v>
      </c>
      <c r="F24" s="341" t="s">
        <v>568</v>
      </c>
      <c r="G24" s="341" t="s">
        <v>569</v>
      </c>
      <c r="H24" s="341" t="s">
        <v>570</v>
      </c>
      <c r="I24" s="341" t="s">
        <v>28</v>
      </c>
      <c r="J24" s="341" t="s">
        <v>547</v>
      </c>
    </row>
    <row r="25" spans="1:10" x14ac:dyDescent="0.3">
      <c r="A25" s="225">
        <v>10</v>
      </c>
      <c r="B25" s="225" t="s">
        <v>854</v>
      </c>
      <c r="C25" s="168"/>
      <c r="D25" s="168">
        <v>0.03</v>
      </c>
      <c r="E25" s="168"/>
      <c r="F25" s="245"/>
      <c r="G25" s="168"/>
      <c r="H25" s="171"/>
      <c r="I25" s="327">
        <v>12</v>
      </c>
      <c r="J25" s="323">
        <f>D25*I25</f>
        <v>0.36</v>
      </c>
    </row>
    <row r="26" spans="1:10" s="178" customFormat="1" x14ac:dyDescent="0.3">
      <c r="I26" s="338" t="s">
        <v>547</v>
      </c>
      <c r="J26" s="337">
        <f>SUM(J25:J25)</f>
        <v>0.36</v>
      </c>
    </row>
  </sheetData>
  <pageMargins left="0.5" right="0.5" top="0.75" bottom="0.75" header="0.3" footer="0.3"/>
  <pageSetup paperSize="9" scale="65" orientation="landscape"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0"/>
  <sheetViews>
    <sheetView showGridLines="0" workbookViewId="0"/>
  </sheetViews>
  <sheetFormatPr defaultColWidth="9.109375" defaultRowHeight="14.4" x14ac:dyDescent="0.3"/>
  <cols>
    <col min="1" max="1" width="11.33203125" style="248" bestFit="1" customWidth="1"/>
    <col min="2" max="2" width="29" style="248" customWidth="1"/>
    <col min="3" max="3" width="16.88671875" style="248" customWidth="1"/>
    <col min="4" max="4" width="13.5546875" style="248" bestFit="1" customWidth="1"/>
    <col min="5" max="5" width="14.109375" style="248" bestFit="1" customWidth="1"/>
    <col min="6" max="6" width="12" style="248" bestFit="1" customWidth="1"/>
    <col min="7" max="7" width="12.6640625" style="248" customWidth="1"/>
    <col min="8" max="8" width="12.33203125" style="248" customWidth="1"/>
    <col min="9" max="9" width="14" style="248" customWidth="1"/>
    <col min="10" max="10" width="13.88671875" style="248" bestFit="1" customWidth="1"/>
    <col min="11" max="11" width="10.44140625" style="248" bestFit="1" customWidth="1"/>
    <col min="12" max="12" width="11.33203125" style="248" bestFit="1" customWidth="1"/>
    <col min="13" max="13" width="17.44140625" style="248" customWidth="1"/>
    <col min="14" max="14" width="15" style="248" bestFit="1" customWidth="1"/>
    <col min="15" max="15" width="9.109375" style="248"/>
    <col min="16" max="16" width="9.44140625" style="248" bestFit="1" customWidth="1"/>
    <col min="17" max="18" width="9.109375" style="248"/>
    <col min="19" max="19" width="10.44140625" style="248" bestFit="1" customWidth="1"/>
    <col min="20" max="20" width="9.44140625" style="248" bestFit="1" customWidth="1"/>
    <col min="21" max="21" width="9.109375" style="248"/>
    <col min="22" max="22" width="9.44140625" style="248" bestFit="1" customWidth="1"/>
    <col min="23" max="23" width="9.109375" style="248"/>
    <col min="24" max="25" width="10.109375" style="248" bestFit="1" customWidth="1"/>
    <col min="26" max="28" width="9.33203125" style="248" bestFit="1" customWidth="1"/>
    <col min="29" max="16384" width="9.109375" style="248"/>
  </cols>
  <sheetData>
    <row r="1" spans="1:14" x14ac:dyDescent="0.3">
      <c r="A1" s="394" t="s">
        <v>523</v>
      </c>
      <c r="B1" s="248" t="s">
        <v>524</v>
      </c>
      <c r="J1" s="370" t="s">
        <v>528</v>
      </c>
      <c r="K1" s="250">
        <v>81</v>
      </c>
      <c r="M1" s="369" t="s">
        <v>546</v>
      </c>
      <c r="N1" s="364">
        <f>N11+I16+I20</f>
        <v>10.655999999999999</v>
      </c>
    </row>
    <row r="2" spans="1:14" x14ac:dyDescent="0.3">
      <c r="A2" s="369" t="s">
        <v>532</v>
      </c>
      <c r="B2" s="248" t="s">
        <v>780</v>
      </c>
      <c r="D2" s="369" t="s">
        <v>536</v>
      </c>
      <c r="M2" s="369" t="s">
        <v>533</v>
      </c>
      <c r="N2" s="296">
        <v>1</v>
      </c>
    </row>
    <row r="3" spans="1:14" x14ac:dyDescent="0.3">
      <c r="A3" s="369" t="s">
        <v>534</v>
      </c>
      <c r="B3" s="248" t="s">
        <v>802</v>
      </c>
      <c r="D3" s="369" t="s">
        <v>538</v>
      </c>
      <c r="J3" s="369" t="s">
        <v>536</v>
      </c>
    </row>
    <row r="4" spans="1:14" x14ac:dyDescent="0.3">
      <c r="A4" s="369" t="s">
        <v>545</v>
      </c>
      <c r="B4" s="319" t="s">
        <v>807</v>
      </c>
      <c r="D4" s="369" t="s">
        <v>541</v>
      </c>
      <c r="J4" s="369" t="s">
        <v>538</v>
      </c>
      <c r="M4" s="369" t="s">
        <v>539</v>
      </c>
      <c r="N4" s="364">
        <f>N1*N2</f>
        <v>10.655999999999999</v>
      </c>
    </row>
    <row r="5" spans="1:14" x14ac:dyDescent="0.3">
      <c r="A5" s="369" t="s">
        <v>537</v>
      </c>
      <c r="B5" s="319" t="s">
        <v>90</v>
      </c>
      <c r="J5" s="369" t="s">
        <v>541</v>
      </c>
    </row>
    <row r="6" spans="1:14" x14ac:dyDescent="0.3">
      <c r="A6" s="369" t="s">
        <v>540</v>
      </c>
      <c r="B6" s="248" t="s">
        <v>36</v>
      </c>
    </row>
    <row r="7" spans="1:14" x14ac:dyDescent="0.3">
      <c r="A7" s="369" t="s">
        <v>542</v>
      </c>
      <c r="B7" s="248" t="s">
        <v>865</v>
      </c>
    </row>
    <row r="9" spans="1:14" s="278" customFormat="1" x14ac:dyDescent="0.3">
      <c r="A9" s="371" t="s">
        <v>544</v>
      </c>
      <c r="B9" s="371" t="s">
        <v>581</v>
      </c>
      <c r="C9" s="371" t="s">
        <v>549</v>
      </c>
      <c r="D9" s="371" t="s">
        <v>550</v>
      </c>
      <c r="E9" s="371" t="s">
        <v>567</v>
      </c>
      <c r="F9" s="371" t="s">
        <v>568</v>
      </c>
      <c r="G9" s="371" t="s">
        <v>569</v>
      </c>
      <c r="H9" s="371" t="s">
        <v>570</v>
      </c>
      <c r="I9" s="371" t="s">
        <v>582</v>
      </c>
      <c r="J9" s="371" t="s">
        <v>583</v>
      </c>
      <c r="K9" s="371" t="s">
        <v>584</v>
      </c>
      <c r="L9" s="371" t="s">
        <v>585</v>
      </c>
      <c r="M9" s="371" t="s">
        <v>28</v>
      </c>
      <c r="N9" s="371" t="s">
        <v>547</v>
      </c>
    </row>
    <row r="10" spans="1:14" x14ac:dyDescent="0.3">
      <c r="A10" s="184">
        <v>10</v>
      </c>
      <c r="B10" s="225" t="s">
        <v>855</v>
      </c>
      <c r="C10" s="184" t="s">
        <v>864</v>
      </c>
      <c r="D10" s="362">
        <v>200</v>
      </c>
      <c r="E10" s="184">
        <v>0.05</v>
      </c>
      <c r="F10" s="184" t="s">
        <v>856</v>
      </c>
      <c r="G10" s="184"/>
      <c r="H10" s="268"/>
      <c r="I10" s="269"/>
      <c r="J10" s="270"/>
      <c r="K10" s="268"/>
      <c r="L10" s="268"/>
      <c r="M10" s="365">
        <v>1</v>
      </c>
      <c r="N10" s="363">
        <f>E10*D10</f>
        <v>10</v>
      </c>
    </row>
    <row r="11" spans="1:14" s="278" customFormat="1" x14ac:dyDescent="0.3">
      <c r="M11" s="372" t="s">
        <v>547</v>
      </c>
      <c r="N11" s="373">
        <f>SUM(N10:N10)</f>
        <v>10</v>
      </c>
    </row>
    <row r="13" spans="1:14" s="278" customFormat="1" x14ac:dyDescent="0.3">
      <c r="A13" s="371" t="s">
        <v>544</v>
      </c>
      <c r="B13" s="371" t="s">
        <v>548</v>
      </c>
      <c r="C13" s="371" t="s">
        <v>549</v>
      </c>
      <c r="D13" s="371" t="s">
        <v>550</v>
      </c>
      <c r="E13" s="371" t="s">
        <v>551</v>
      </c>
      <c r="F13" s="371" t="s">
        <v>28</v>
      </c>
      <c r="G13" s="371" t="s">
        <v>552</v>
      </c>
      <c r="H13" s="371" t="s">
        <v>553</v>
      </c>
      <c r="I13" s="371" t="s">
        <v>547</v>
      </c>
    </row>
    <row r="14" spans="1:14" x14ac:dyDescent="0.3">
      <c r="A14" s="184">
        <v>10</v>
      </c>
      <c r="B14" s="180" t="s">
        <v>857</v>
      </c>
      <c r="C14" s="193"/>
      <c r="D14" s="362">
        <v>35</v>
      </c>
      <c r="E14" s="184" t="s">
        <v>627</v>
      </c>
      <c r="F14" s="184">
        <v>1.12E-2</v>
      </c>
      <c r="G14" s="184"/>
      <c r="H14" s="184"/>
      <c r="I14" s="362">
        <f>IF('EN 02007'!$H14&lt;&gt;"",'EN 02007'!$D14*'EN 02007'!$F14*'EN 02007'!$H14,'EN 02007'!$D14*'EN 02007'!$F14)</f>
        <v>0.39200000000000002</v>
      </c>
    </row>
    <row r="15" spans="1:14" x14ac:dyDescent="0.3">
      <c r="A15" s="184">
        <v>20</v>
      </c>
      <c r="B15" s="180" t="s">
        <v>858</v>
      </c>
      <c r="C15" s="193"/>
      <c r="D15" s="362">
        <v>20</v>
      </c>
      <c r="E15" s="184" t="s">
        <v>627</v>
      </c>
      <c r="F15" s="184">
        <f>F14</f>
        <v>1.12E-2</v>
      </c>
      <c r="G15" s="184"/>
      <c r="H15" s="184"/>
      <c r="I15" s="363">
        <f>IF('EN 02007'!$H15&lt;&gt;"",'EN 02007'!$D15*'EN 02007'!$F15*'EN 02007'!$H15,'EN 02007'!$D15*'EN 02007'!$F15)</f>
        <v>0.224</v>
      </c>
    </row>
    <row r="16" spans="1:14" s="278" customFormat="1" x14ac:dyDescent="0.3">
      <c r="H16" s="372" t="s">
        <v>547</v>
      </c>
      <c r="I16" s="373">
        <f>SUM(I14:I15)</f>
        <v>0.61599999999999999</v>
      </c>
    </row>
    <row r="18" spans="1:9" s="278" customFormat="1" x14ac:dyDescent="0.3">
      <c r="A18" s="371" t="s">
        <v>544</v>
      </c>
      <c r="B18" s="371" t="s">
        <v>6</v>
      </c>
      <c r="C18" s="371" t="s">
        <v>549</v>
      </c>
      <c r="D18" s="371" t="s">
        <v>550</v>
      </c>
      <c r="E18" s="371" t="s">
        <v>551</v>
      </c>
      <c r="F18" s="371" t="s">
        <v>28</v>
      </c>
      <c r="G18" s="371" t="s">
        <v>691</v>
      </c>
      <c r="H18" s="371" t="s">
        <v>692</v>
      </c>
      <c r="I18" s="371" t="s">
        <v>547</v>
      </c>
    </row>
    <row r="19" spans="1:9" x14ac:dyDescent="0.3">
      <c r="A19" s="180">
        <v>10</v>
      </c>
      <c r="B19" s="267" t="s">
        <v>859</v>
      </c>
      <c r="C19" s="267"/>
      <c r="D19" s="366">
        <v>10000</v>
      </c>
      <c r="E19" s="180" t="s">
        <v>627</v>
      </c>
      <c r="F19" s="184">
        <v>1.2E-2</v>
      </c>
      <c r="G19" s="184">
        <v>3000</v>
      </c>
      <c r="H19" s="184">
        <v>1</v>
      </c>
      <c r="I19" s="195">
        <f>IF($G19&lt;&gt;"",D19*F19/G19*H19,"")</f>
        <v>0.04</v>
      </c>
    </row>
    <row r="20" spans="1:9" s="278" customFormat="1" x14ac:dyDescent="0.3">
      <c r="H20" s="374" t="s">
        <v>547</v>
      </c>
      <c r="I20" s="375">
        <f>SUM(I19:I19)</f>
        <v>0.04</v>
      </c>
    </row>
  </sheetData>
  <pageMargins left="0.5" right="0.5" top="0.75" bottom="0.75" header="0.3" footer="0.3"/>
  <pageSetup paperSize="9" scale="66" orientation="landscape"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05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31.109375" style="161" customWidth="1"/>
    <col min="3" max="3" width="16.33203125" style="161" customWidth="1"/>
    <col min="4" max="4" width="12" style="161" customWidth="1"/>
    <col min="5" max="5" width="9.44140625" style="161" customWidth="1"/>
    <col min="6" max="6" width="11.5546875" style="161" customWidth="1"/>
    <col min="7" max="7" width="17.6640625" style="161" bestFit="1" customWidth="1"/>
    <col min="8" max="8" width="10.88671875" style="161" bestFit="1" customWidth="1"/>
    <col min="9" max="9" width="12.66406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5546875" style="161" customWidth="1"/>
    <col min="14" max="14" width="13.441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1.4572121721330547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802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78</v>
      </c>
      <c r="D4" s="342" t="s">
        <v>541</v>
      </c>
      <c r="J4" s="342" t="s">
        <v>538</v>
      </c>
      <c r="M4" s="342" t="s">
        <v>539</v>
      </c>
      <c r="N4" s="336">
        <f>N1*N2</f>
        <v>1.4572121721330547</v>
      </c>
    </row>
    <row r="5" spans="1:14" x14ac:dyDescent="0.3">
      <c r="A5" s="342" t="s">
        <v>537</v>
      </c>
      <c r="B5" s="166" t="s">
        <v>91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68" t="s">
        <v>720</v>
      </c>
      <c r="C10" s="168" t="s">
        <v>798</v>
      </c>
      <c r="D10" s="323">
        <v>4.2</v>
      </c>
      <c r="E10" s="168">
        <v>16</v>
      </c>
      <c r="F10" s="168" t="s">
        <v>573</v>
      </c>
      <c r="G10" s="168"/>
      <c r="H10" s="219"/>
      <c r="I10" s="367" t="s">
        <v>860</v>
      </c>
      <c r="J10" s="220">
        <f>E10*E10*PI()/4/1000000</f>
        <v>2.0106192982974677E-4</v>
      </c>
      <c r="K10" s="228">
        <v>2.5000000000000001E-2</v>
      </c>
      <c r="L10" s="219">
        <v>2710</v>
      </c>
      <c r="M10" s="339">
        <v>1</v>
      </c>
      <c r="N10" s="322">
        <f>IF(J10="",D10*M10,D10*J10*K10*L10*M10)</f>
        <v>5.7212172133054455E-2</v>
      </c>
    </row>
    <row r="11" spans="1:14" s="178" customFormat="1" x14ac:dyDescent="0.3">
      <c r="M11" s="338" t="s">
        <v>547</v>
      </c>
      <c r="N11" s="337">
        <f>SUM(N10:N10)</f>
        <v>5.7212172133054455E-2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95" customHeight="1" x14ac:dyDescent="0.3">
      <c r="A14" s="168">
        <v>10</v>
      </c>
      <c r="B14" s="193" t="s">
        <v>589</v>
      </c>
      <c r="C14" s="171"/>
      <c r="D14" s="323">
        <v>1.3</v>
      </c>
      <c r="E14" s="168" t="s">
        <v>556</v>
      </c>
      <c r="F14" s="168">
        <v>1</v>
      </c>
      <c r="G14" s="168"/>
      <c r="I14" s="323">
        <f>IF('EN 02008'!$H14&lt;&gt;"",'EN 02008'!$D14*'EN 02008'!$F14*'EN 02008'!$H14,'EN 02008'!$D14*'EN 02008'!$F14)</f>
        <v>1.3</v>
      </c>
    </row>
    <row r="15" spans="1:14" ht="14.4" customHeight="1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2.5</v>
      </c>
      <c r="G15" s="180" t="s">
        <v>723</v>
      </c>
      <c r="H15" s="168">
        <v>1</v>
      </c>
      <c r="I15" s="322">
        <f>IF('EN 02008'!$H15&lt;&gt;"",'EN 02008'!$D15*'EN 02008'!$F15*'EN 02008'!$H15,'EN 02008'!$D15*'EN 02008'!$F15)</f>
        <v>0.1</v>
      </c>
    </row>
    <row r="16" spans="1:14" s="178" customFormat="1" x14ac:dyDescent="0.3">
      <c r="H16" s="338" t="s">
        <v>547</v>
      </c>
      <c r="I16" s="337">
        <f>SUM(I14:I15)</f>
        <v>1.4000000000000001</v>
      </c>
    </row>
    <row r="68" spans="1:8" x14ac:dyDescent="0.3">
      <c r="A68" s="161" t="e">
        <f>#REF!</f>
        <v>#REF!</v>
      </c>
      <c r="B68" s="161" t="e">
        <f>#REF!</f>
        <v>#REF!</v>
      </c>
      <c r="C68" s="161" t="e">
        <f>#REF!</f>
        <v>#REF!</v>
      </c>
      <c r="D68" s="161" t="e">
        <f>#REF!</f>
        <v>#REF!</v>
      </c>
      <c r="E68" s="161" t="e">
        <f>#REF!</f>
        <v>#REF!</v>
      </c>
      <c r="F68" s="161" t="e">
        <f>#REF!</f>
        <v>#REF!</v>
      </c>
      <c r="G68" s="161" t="e">
        <f>#REF!</f>
        <v>#REF!</v>
      </c>
      <c r="H68" s="161" t="e">
        <f>#REF!</f>
        <v>#REF!</v>
      </c>
    </row>
    <row r="69" spans="1:8" x14ac:dyDescent="0.3">
      <c r="A69" s="161" t="e">
        <f>#REF!</f>
        <v>#REF!</v>
      </c>
      <c r="B69" s="161" t="e">
        <f>#REF!</f>
        <v>#REF!</v>
      </c>
      <c r="C69" s="161" t="e">
        <f>#REF!</f>
        <v>#REF!</v>
      </c>
      <c r="D69" s="161" t="e">
        <f>#REF!</f>
        <v>#REF!</v>
      </c>
      <c r="E69" s="161" t="e">
        <f>#REF!</f>
        <v>#REF!</v>
      </c>
      <c r="F69" s="161" t="e">
        <f>#REF!</f>
        <v>#REF!</v>
      </c>
      <c r="G69" s="161" t="e">
        <f>#REF!</f>
        <v>#REF!</v>
      </c>
      <c r="H69" s="161" t="e">
        <f>#REF!</f>
        <v>#REF!</v>
      </c>
    </row>
    <row r="70" spans="1:8" x14ac:dyDescent="0.3">
      <c r="A70" s="161" t="e">
        <f>#REF!</f>
        <v>#REF!</v>
      </c>
      <c r="B70" s="161" t="e">
        <f>#REF!</f>
        <v>#REF!</v>
      </c>
      <c r="C70" s="161" t="e">
        <f>#REF!</f>
        <v>#REF!</v>
      </c>
      <c r="D70" s="161" t="e">
        <f>#REF!</f>
        <v>#REF!</v>
      </c>
      <c r="E70" s="161" t="e">
        <f>#REF!</f>
        <v>#REF!</v>
      </c>
      <c r="F70" s="161" t="e">
        <f>#REF!</f>
        <v>#REF!</v>
      </c>
      <c r="G70" s="161" t="e">
        <f>#REF!</f>
        <v>#REF!</v>
      </c>
      <c r="H70" s="161" t="e">
        <f>#REF!</f>
        <v>#REF!</v>
      </c>
    </row>
    <row r="71" spans="1:8" x14ac:dyDescent="0.3">
      <c r="A71" s="161" t="e">
        <f>#REF!</f>
        <v>#REF!</v>
      </c>
      <c r="B71" s="161" t="e">
        <f>#REF!</f>
        <v>#REF!</v>
      </c>
      <c r="C71" s="161" t="e">
        <f>#REF!</f>
        <v>#REF!</v>
      </c>
      <c r="D71" s="161" t="e">
        <f>#REF!</f>
        <v>#REF!</v>
      </c>
      <c r="E71" s="161" t="e">
        <f>#REF!</f>
        <v>#REF!</v>
      </c>
      <c r="F71" s="161" t="e">
        <f>#REF!</f>
        <v>#REF!</v>
      </c>
      <c r="G71" s="161" t="e">
        <f>#REF!</f>
        <v>#REF!</v>
      </c>
      <c r="H71" s="161" t="e">
        <f>#REF!</f>
        <v>#REF!</v>
      </c>
    </row>
    <row r="72" spans="1:8" x14ac:dyDescent="0.3">
      <c r="A72" s="161" t="e">
        <f>#REF!</f>
        <v>#REF!</v>
      </c>
      <c r="B72" s="161" t="e">
        <f>#REF!</f>
        <v>#REF!</v>
      </c>
      <c r="C72" s="161" t="e">
        <f>#REF!</f>
        <v>#REF!</v>
      </c>
      <c r="D72" s="161" t="e">
        <f>#REF!</f>
        <v>#REF!</v>
      </c>
      <c r="E72" s="161" t="e">
        <f>#REF!</f>
        <v>#REF!</v>
      </c>
      <c r="F72" s="161" t="e">
        <f>#REF!</f>
        <v>#REF!</v>
      </c>
      <c r="G72" s="161" t="e">
        <f>#REF!</f>
        <v>#REF!</v>
      </c>
      <c r="H72" s="161" t="e">
        <f>#REF!</f>
        <v>#REF!</v>
      </c>
    </row>
    <row r="73" spans="1:8" x14ac:dyDescent="0.3">
      <c r="A73" s="161" t="e">
        <f>#REF!</f>
        <v>#REF!</v>
      </c>
      <c r="B73" s="161" t="e">
        <f>#REF!</f>
        <v>#REF!</v>
      </c>
      <c r="C73" s="161" t="e">
        <f>#REF!</f>
        <v>#REF!</v>
      </c>
      <c r="D73" s="161" t="e">
        <f>#REF!</f>
        <v>#REF!</v>
      </c>
      <c r="E73" s="161" t="e">
        <f>#REF!</f>
        <v>#REF!</v>
      </c>
      <c r="F73" s="161" t="e">
        <f>#REF!</f>
        <v>#REF!</v>
      </c>
      <c r="G73" s="161" t="e">
        <f>#REF!</f>
        <v>#REF!</v>
      </c>
      <c r="H73" s="161" t="e">
        <f>#REF!</f>
        <v>#REF!</v>
      </c>
    </row>
    <row r="74" spans="1:8" x14ac:dyDescent="0.3">
      <c r="A74" s="161" t="e">
        <f>#REF!</f>
        <v>#REF!</v>
      </c>
      <c r="B74" s="161" t="e">
        <f>#REF!</f>
        <v>#REF!</v>
      </c>
      <c r="C74" s="161" t="e">
        <f>#REF!</f>
        <v>#REF!</v>
      </c>
      <c r="D74" s="161" t="e">
        <f>#REF!</f>
        <v>#REF!</v>
      </c>
      <c r="E74" s="161" t="e">
        <f>#REF!</f>
        <v>#REF!</v>
      </c>
      <c r="F74" s="161" t="e">
        <f>#REF!</f>
        <v>#REF!</v>
      </c>
      <c r="G74" s="161" t="e">
        <f>#REF!</f>
        <v>#REF!</v>
      </c>
      <c r="H74" s="161" t="e">
        <f>#REF!</f>
        <v>#REF!</v>
      </c>
    </row>
    <row r="75" spans="1:8" x14ac:dyDescent="0.3">
      <c r="A75" s="161" t="e">
        <f>#REF!</f>
        <v>#REF!</v>
      </c>
      <c r="B75" s="161" t="e">
        <f>#REF!</f>
        <v>#REF!</v>
      </c>
      <c r="C75" s="161" t="e">
        <f>#REF!</f>
        <v>#REF!</v>
      </c>
      <c r="D75" s="161" t="e">
        <f>#REF!</f>
        <v>#REF!</v>
      </c>
      <c r="E75" s="161" t="e">
        <f>#REF!</f>
        <v>#REF!</v>
      </c>
      <c r="F75" s="161" t="e">
        <f>#REF!</f>
        <v>#REF!</v>
      </c>
      <c r="G75" s="161" t="e">
        <f>#REF!</f>
        <v>#REF!</v>
      </c>
      <c r="H75" s="161" t="e">
        <f>#REF!</f>
        <v>#REF!</v>
      </c>
    </row>
    <row r="76" spans="1:8" x14ac:dyDescent="0.3">
      <c r="A76" s="161" t="e">
        <f>#REF!</f>
        <v>#REF!</v>
      </c>
      <c r="B76" s="161" t="e">
        <f>#REF!</f>
        <v>#REF!</v>
      </c>
      <c r="C76" s="161" t="e">
        <f>#REF!</f>
        <v>#REF!</v>
      </c>
      <c r="D76" s="161" t="e">
        <f>#REF!</f>
        <v>#REF!</v>
      </c>
      <c r="E76" s="161" t="e">
        <f>#REF!</f>
        <v>#REF!</v>
      </c>
      <c r="F76" s="161" t="e">
        <f>#REF!</f>
        <v>#REF!</v>
      </c>
      <c r="G76" s="161" t="e">
        <f>#REF!</f>
        <v>#REF!</v>
      </c>
      <c r="H76" s="161" t="e">
        <f>#REF!</f>
        <v>#REF!</v>
      </c>
    </row>
    <row r="77" spans="1:8" x14ac:dyDescent="0.3">
      <c r="A77" s="161" t="e">
        <f>#REF!</f>
        <v>#REF!</v>
      </c>
      <c r="B77" s="161" t="e">
        <f>#REF!</f>
        <v>#REF!</v>
      </c>
      <c r="C77" s="161" t="e">
        <f>#REF!</f>
        <v>#REF!</v>
      </c>
      <c r="D77" s="161" t="e">
        <f>#REF!</f>
        <v>#REF!</v>
      </c>
      <c r="E77" s="161" t="e">
        <f>#REF!</f>
        <v>#REF!</v>
      </c>
      <c r="F77" s="161" t="e">
        <f>#REF!</f>
        <v>#REF!</v>
      </c>
      <c r="G77" s="161" t="e">
        <f>#REF!</f>
        <v>#REF!</v>
      </c>
      <c r="H77" s="161" t="e">
        <f>#REF!</f>
        <v>#REF!</v>
      </c>
    </row>
    <row r="78" spans="1:8" x14ac:dyDescent="0.3">
      <c r="A78" s="161" t="e">
        <f>#REF!</f>
        <v>#REF!</v>
      </c>
      <c r="B78" s="161" t="e">
        <f>#REF!</f>
        <v>#REF!</v>
      </c>
      <c r="C78" s="161" t="e">
        <f>#REF!</f>
        <v>#REF!</v>
      </c>
      <c r="D78" s="161" t="e">
        <f>#REF!</f>
        <v>#REF!</v>
      </c>
      <c r="E78" s="161" t="e">
        <f>#REF!</f>
        <v>#REF!</v>
      </c>
      <c r="F78" s="161" t="e">
        <f>#REF!</f>
        <v>#REF!</v>
      </c>
      <c r="G78" s="161" t="e">
        <f>#REF!</f>
        <v>#REF!</v>
      </c>
      <c r="H78" s="161" t="e">
        <f>#REF!</f>
        <v>#REF!</v>
      </c>
    </row>
    <row r="79" spans="1:8" x14ac:dyDescent="0.3">
      <c r="A79" s="161" t="e">
        <f>#REF!</f>
        <v>#REF!</v>
      </c>
      <c r="B79" s="161" t="e">
        <f>#REF!</f>
        <v>#REF!</v>
      </c>
      <c r="C79" s="161" t="e">
        <f>#REF!</f>
        <v>#REF!</v>
      </c>
      <c r="D79" s="161" t="e">
        <f>#REF!</f>
        <v>#REF!</v>
      </c>
      <c r="E79" s="161" t="e">
        <f>#REF!</f>
        <v>#REF!</v>
      </c>
      <c r="F79" s="161" t="e">
        <f>#REF!</f>
        <v>#REF!</v>
      </c>
      <c r="G79" s="161" t="e">
        <f>#REF!</f>
        <v>#REF!</v>
      </c>
      <c r="H79" s="161" t="e">
        <f>#REF!</f>
        <v>#REF!</v>
      </c>
    </row>
    <row r="80" spans="1:8" x14ac:dyDescent="0.3">
      <c r="A80" s="161" t="e">
        <f>#REF!</f>
        <v>#REF!</v>
      </c>
      <c r="B80" s="161" t="e">
        <f>#REF!</f>
        <v>#REF!</v>
      </c>
      <c r="C80" s="161" t="e">
        <f>#REF!</f>
        <v>#REF!</v>
      </c>
      <c r="D80" s="161" t="e">
        <f>#REF!</f>
        <v>#REF!</v>
      </c>
      <c r="E80" s="161" t="e">
        <f>#REF!</f>
        <v>#REF!</v>
      </c>
      <c r="F80" s="161" t="e">
        <f>#REF!</f>
        <v>#REF!</v>
      </c>
      <c r="G80" s="161" t="e">
        <f>#REF!</f>
        <v>#REF!</v>
      </c>
      <c r="H80" s="161" t="e">
        <f>#REF!</f>
        <v>#REF!</v>
      </c>
    </row>
    <row r="81" spans="1:8" x14ac:dyDescent="0.3">
      <c r="A81" s="161" t="e">
        <f>#REF!</f>
        <v>#REF!</v>
      </c>
      <c r="B81" s="161" t="e">
        <f>#REF!</f>
        <v>#REF!</v>
      </c>
      <c r="C81" s="161" t="e">
        <f>#REF!</f>
        <v>#REF!</v>
      </c>
      <c r="D81" s="161" t="e">
        <f>#REF!</f>
        <v>#REF!</v>
      </c>
      <c r="E81" s="161" t="e">
        <f>#REF!</f>
        <v>#REF!</v>
      </c>
      <c r="F81" s="161" t="e">
        <f>#REF!</f>
        <v>#REF!</v>
      </c>
      <c r="G81" s="161" t="e">
        <f>#REF!</f>
        <v>#REF!</v>
      </c>
      <c r="H81" s="161" t="e">
        <f>#REF!</f>
        <v>#REF!</v>
      </c>
    </row>
    <row r="82" spans="1:8" x14ac:dyDescent="0.3">
      <c r="A82" s="161" t="e">
        <f>#REF!</f>
        <v>#REF!</v>
      </c>
      <c r="B82" s="161" t="e">
        <f>#REF!</f>
        <v>#REF!</v>
      </c>
      <c r="C82" s="161" t="e">
        <f>#REF!</f>
        <v>#REF!</v>
      </c>
      <c r="D82" s="161" t="e">
        <f>#REF!</f>
        <v>#REF!</v>
      </c>
      <c r="E82" s="161" t="e">
        <f>#REF!</f>
        <v>#REF!</v>
      </c>
      <c r="F82" s="161" t="e">
        <f>#REF!</f>
        <v>#REF!</v>
      </c>
      <c r="G82" s="161" t="e">
        <f>#REF!</f>
        <v>#REF!</v>
      </c>
      <c r="H82" s="161" t="e">
        <f>#REF!</f>
        <v>#REF!</v>
      </c>
    </row>
    <row r="83" spans="1:8" x14ac:dyDescent="0.3">
      <c r="A83" s="161" t="e">
        <f>#REF!</f>
        <v>#REF!</v>
      </c>
      <c r="B83" s="161" t="e">
        <f>#REF!</f>
        <v>#REF!</v>
      </c>
      <c r="C83" s="161" t="e">
        <f>#REF!</f>
        <v>#REF!</v>
      </c>
      <c r="D83" s="161" t="e">
        <f>#REF!</f>
        <v>#REF!</v>
      </c>
      <c r="E83" s="161" t="e">
        <f>#REF!</f>
        <v>#REF!</v>
      </c>
      <c r="F83" s="161" t="e">
        <f>#REF!</f>
        <v>#REF!</v>
      </c>
      <c r="G83" s="161" t="e">
        <f>#REF!</f>
        <v>#REF!</v>
      </c>
      <c r="H83" s="161" t="e">
        <f>#REF!</f>
        <v>#REF!</v>
      </c>
    </row>
    <row r="84" spans="1:8" x14ac:dyDescent="0.3">
      <c r="A84" s="161" t="e">
        <f>#REF!</f>
        <v>#REF!</v>
      </c>
      <c r="B84" s="161" t="e">
        <f>#REF!</f>
        <v>#REF!</v>
      </c>
      <c r="C84" s="161" t="e">
        <f>#REF!</f>
        <v>#REF!</v>
      </c>
      <c r="D84" s="161" t="e">
        <f>#REF!</f>
        <v>#REF!</v>
      </c>
      <c r="E84" s="161" t="e">
        <f>#REF!</f>
        <v>#REF!</v>
      </c>
      <c r="F84" s="161" t="e">
        <f>#REF!</f>
        <v>#REF!</v>
      </c>
      <c r="G84" s="161" t="e">
        <f>#REF!</f>
        <v>#REF!</v>
      </c>
      <c r="H84" s="161" t="e">
        <f>#REF!</f>
        <v>#REF!</v>
      </c>
    </row>
    <row r="85" spans="1:8" x14ac:dyDescent="0.3">
      <c r="A85" s="161" t="e">
        <f>#REF!</f>
        <v>#REF!</v>
      </c>
      <c r="B85" s="161" t="e">
        <f>#REF!</f>
        <v>#REF!</v>
      </c>
      <c r="C85" s="161" t="e">
        <f>#REF!</f>
        <v>#REF!</v>
      </c>
      <c r="D85" s="161" t="e">
        <f>#REF!</f>
        <v>#REF!</v>
      </c>
      <c r="E85" s="161" t="e">
        <f>#REF!</f>
        <v>#REF!</v>
      </c>
      <c r="F85" s="161" t="e">
        <f>#REF!</f>
        <v>#REF!</v>
      </c>
      <c r="G85" s="161" t="e">
        <f>#REF!</f>
        <v>#REF!</v>
      </c>
      <c r="H85" s="161" t="e">
        <f>#REF!</f>
        <v>#REF!</v>
      </c>
    </row>
    <row r="86" spans="1:8" x14ac:dyDescent="0.3">
      <c r="A86" s="161" t="e">
        <f>#REF!</f>
        <v>#REF!</v>
      </c>
      <c r="B86" s="161" t="e">
        <f>#REF!</f>
        <v>#REF!</v>
      </c>
      <c r="C86" s="161" t="e">
        <f>#REF!</f>
        <v>#REF!</v>
      </c>
      <c r="D86" s="161" t="e">
        <f>#REF!</f>
        <v>#REF!</v>
      </c>
      <c r="E86" s="161" t="e">
        <f>#REF!</f>
        <v>#REF!</v>
      </c>
      <c r="F86" s="161" t="e">
        <f>#REF!</f>
        <v>#REF!</v>
      </c>
      <c r="G86" s="161" t="e">
        <f>#REF!</f>
        <v>#REF!</v>
      </c>
      <c r="H86" s="161" t="e">
        <f>#REF!</f>
        <v>#REF!</v>
      </c>
    </row>
    <row r="87" spans="1:8" x14ac:dyDescent="0.3">
      <c r="A87" s="161" t="e">
        <f>#REF!</f>
        <v>#REF!</v>
      </c>
      <c r="B87" s="161" t="e">
        <f>#REF!</f>
        <v>#REF!</v>
      </c>
      <c r="C87" s="161" t="e">
        <f>#REF!</f>
        <v>#REF!</v>
      </c>
      <c r="D87" s="161" t="e">
        <f>#REF!</f>
        <v>#REF!</v>
      </c>
      <c r="E87" s="161" t="e">
        <f>#REF!</f>
        <v>#REF!</v>
      </c>
      <c r="F87" s="161" t="e">
        <f>#REF!</f>
        <v>#REF!</v>
      </c>
      <c r="G87" s="161" t="e">
        <f>#REF!</f>
        <v>#REF!</v>
      </c>
      <c r="H87" s="161" t="e">
        <f>#REF!</f>
        <v>#REF!</v>
      </c>
    </row>
    <row r="88" spans="1:8" x14ac:dyDescent="0.3">
      <c r="A88" s="161" t="e">
        <f>#REF!</f>
        <v>#REF!</v>
      </c>
      <c r="B88" s="161" t="e">
        <f>#REF!</f>
        <v>#REF!</v>
      </c>
      <c r="C88" s="161" t="e">
        <f>#REF!</f>
        <v>#REF!</v>
      </c>
      <c r="D88" s="161" t="e">
        <f>#REF!</f>
        <v>#REF!</v>
      </c>
      <c r="E88" s="161" t="e">
        <f>#REF!</f>
        <v>#REF!</v>
      </c>
      <c r="F88" s="161" t="e">
        <f>#REF!</f>
        <v>#REF!</v>
      </c>
      <c r="G88" s="161" t="e">
        <f>#REF!</f>
        <v>#REF!</v>
      </c>
      <c r="H88" s="161" t="e">
        <f>#REF!</f>
        <v>#REF!</v>
      </c>
    </row>
    <row r="89" spans="1:8" x14ac:dyDescent="0.3">
      <c r="A89" s="161" t="e">
        <f>#REF!</f>
        <v>#REF!</v>
      </c>
      <c r="B89" s="161" t="e">
        <f>#REF!</f>
        <v>#REF!</v>
      </c>
      <c r="C89" s="161" t="e">
        <f>#REF!</f>
        <v>#REF!</v>
      </c>
      <c r="D89" s="161" t="e">
        <f>#REF!</f>
        <v>#REF!</v>
      </c>
      <c r="E89" s="161" t="e">
        <f>#REF!</f>
        <v>#REF!</v>
      </c>
      <c r="F89" s="161" t="e">
        <f>#REF!</f>
        <v>#REF!</v>
      </c>
      <c r="G89" s="161" t="e">
        <f>#REF!</f>
        <v>#REF!</v>
      </c>
      <c r="H89" s="161" t="e">
        <f>#REF!</f>
        <v>#REF!</v>
      </c>
    </row>
    <row r="90" spans="1:8" x14ac:dyDescent="0.3">
      <c r="A90" s="161" t="e">
        <f>#REF!</f>
        <v>#REF!</v>
      </c>
      <c r="B90" s="161" t="e">
        <f>#REF!</f>
        <v>#REF!</v>
      </c>
      <c r="C90" s="161" t="e">
        <f>#REF!</f>
        <v>#REF!</v>
      </c>
      <c r="D90" s="161" t="e">
        <f>#REF!</f>
        <v>#REF!</v>
      </c>
      <c r="E90" s="161" t="e">
        <f>#REF!</f>
        <v>#REF!</v>
      </c>
      <c r="F90" s="161" t="e">
        <f>#REF!</f>
        <v>#REF!</v>
      </c>
      <c r="G90" s="161" t="e">
        <f>#REF!</f>
        <v>#REF!</v>
      </c>
      <c r="H90" s="161" t="e">
        <f>#REF!</f>
        <v>#REF!</v>
      </c>
    </row>
    <row r="91" spans="1:8" x14ac:dyDescent="0.3">
      <c r="A91" s="161" t="e">
        <f>#REF!</f>
        <v>#REF!</v>
      </c>
      <c r="B91" s="161" t="e">
        <f>#REF!</f>
        <v>#REF!</v>
      </c>
      <c r="C91" s="161" t="e">
        <f>#REF!</f>
        <v>#REF!</v>
      </c>
      <c r="D91" s="161" t="e">
        <f>#REF!</f>
        <v>#REF!</v>
      </c>
      <c r="E91" s="161" t="e">
        <f>#REF!</f>
        <v>#REF!</v>
      </c>
      <c r="F91" s="161" t="e">
        <f>#REF!</f>
        <v>#REF!</v>
      </c>
      <c r="G91" s="161" t="e">
        <f>#REF!</f>
        <v>#REF!</v>
      </c>
      <c r="H91" s="161" t="e">
        <f>#REF!</f>
        <v>#REF!</v>
      </c>
    </row>
    <row r="92" spans="1:8" x14ac:dyDescent="0.3">
      <c r="A92" s="161" t="e">
        <f>#REF!</f>
        <v>#REF!</v>
      </c>
      <c r="B92" s="161" t="e">
        <f>#REF!</f>
        <v>#REF!</v>
      </c>
      <c r="C92" s="161" t="e">
        <f>#REF!</f>
        <v>#REF!</v>
      </c>
      <c r="D92" s="161" t="e">
        <f>#REF!</f>
        <v>#REF!</v>
      </c>
      <c r="E92" s="161" t="e">
        <f>#REF!</f>
        <v>#REF!</v>
      </c>
      <c r="F92" s="161" t="e">
        <f>#REF!</f>
        <v>#REF!</v>
      </c>
      <c r="G92" s="161" t="e">
        <f>#REF!</f>
        <v>#REF!</v>
      </c>
      <c r="H92" s="161" t="e">
        <f>#REF!</f>
        <v>#REF!</v>
      </c>
    </row>
    <row r="93" spans="1:8" x14ac:dyDescent="0.3">
      <c r="A93" s="161" t="e">
        <f>#REF!</f>
        <v>#REF!</v>
      </c>
      <c r="B93" s="161" t="e">
        <f>#REF!</f>
        <v>#REF!</v>
      </c>
      <c r="C93" s="161" t="e">
        <f>#REF!</f>
        <v>#REF!</v>
      </c>
      <c r="D93" s="161" t="e">
        <f>#REF!</f>
        <v>#REF!</v>
      </c>
      <c r="E93" s="161" t="e">
        <f>#REF!</f>
        <v>#REF!</v>
      </c>
      <c r="F93" s="161" t="e">
        <f>#REF!</f>
        <v>#REF!</v>
      </c>
      <c r="G93" s="161" t="e">
        <f>#REF!</f>
        <v>#REF!</v>
      </c>
      <c r="H93" s="161" t="e">
        <f>#REF!</f>
        <v>#REF!</v>
      </c>
    </row>
    <row r="94" spans="1:8" x14ac:dyDescent="0.3">
      <c r="A94" s="161" t="e">
        <f>#REF!</f>
        <v>#REF!</v>
      </c>
      <c r="B94" s="161" t="e">
        <f>#REF!</f>
        <v>#REF!</v>
      </c>
      <c r="C94" s="161" t="e">
        <f>#REF!</f>
        <v>#REF!</v>
      </c>
      <c r="D94" s="161" t="e">
        <f>#REF!</f>
        <v>#REF!</v>
      </c>
      <c r="E94" s="161" t="e">
        <f>#REF!</f>
        <v>#REF!</v>
      </c>
      <c r="F94" s="161" t="e">
        <f>#REF!</f>
        <v>#REF!</v>
      </c>
      <c r="G94" s="161" t="e">
        <f>#REF!</f>
        <v>#REF!</v>
      </c>
      <c r="H94" s="161" t="e">
        <f>#REF!</f>
        <v>#REF!</v>
      </c>
    </row>
    <row r="95" spans="1:8" x14ac:dyDescent="0.3">
      <c r="A95" s="161" t="e">
        <f>#REF!</f>
        <v>#REF!</v>
      </c>
      <c r="B95" s="161" t="e">
        <f>#REF!</f>
        <v>#REF!</v>
      </c>
      <c r="C95" s="161" t="e">
        <f>#REF!</f>
        <v>#REF!</v>
      </c>
      <c r="D95" s="161" t="e">
        <f>#REF!</f>
        <v>#REF!</v>
      </c>
      <c r="E95" s="161" t="e">
        <f>#REF!</f>
        <v>#REF!</v>
      </c>
      <c r="F95" s="161" t="e">
        <f>#REF!</f>
        <v>#REF!</v>
      </c>
      <c r="G95" s="161" t="e">
        <f>#REF!</f>
        <v>#REF!</v>
      </c>
      <c r="H95" s="161" t="e">
        <f>#REF!</f>
        <v>#REF!</v>
      </c>
    </row>
    <row r="96" spans="1:8" x14ac:dyDescent="0.3">
      <c r="A96" s="161" t="e">
        <f>#REF!</f>
        <v>#REF!</v>
      </c>
      <c r="B96" s="161" t="e">
        <f>#REF!</f>
        <v>#REF!</v>
      </c>
      <c r="C96" s="161" t="e">
        <f>#REF!</f>
        <v>#REF!</v>
      </c>
      <c r="D96" s="161" t="e">
        <f>#REF!</f>
        <v>#REF!</v>
      </c>
      <c r="E96" s="161" t="e">
        <f>#REF!</f>
        <v>#REF!</v>
      </c>
      <c r="F96" s="161" t="e">
        <f>#REF!</f>
        <v>#REF!</v>
      </c>
      <c r="G96" s="161" t="e">
        <f>#REF!</f>
        <v>#REF!</v>
      </c>
      <c r="H96" s="161" t="e">
        <f>#REF!</f>
        <v>#REF!</v>
      </c>
    </row>
    <row r="97" spans="1:8" x14ac:dyDescent="0.3">
      <c r="A97" s="161" t="e">
        <f>#REF!</f>
        <v>#REF!</v>
      </c>
      <c r="B97" s="161" t="e">
        <f>#REF!</f>
        <v>#REF!</v>
      </c>
      <c r="C97" s="161" t="e">
        <f>#REF!</f>
        <v>#REF!</v>
      </c>
      <c r="D97" s="161" t="e">
        <f>#REF!</f>
        <v>#REF!</v>
      </c>
      <c r="E97" s="161" t="e">
        <f>#REF!</f>
        <v>#REF!</v>
      </c>
      <c r="F97" s="161" t="e">
        <f>#REF!</f>
        <v>#REF!</v>
      </c>
      <c r="G97" s="161" t="e">
        <f>#REF!</f>
        <v>#REF!</v>
      </c>
      <c r="H97" s="161" t="e">
        <f>#REF!</f>
        <v>#REF!</v>
      </c>
    </row>
    <row r="98" spans="1:8" x14ac:dyDescent="0.3">
      <c r="A98" s="161" t="e">
        <f>#REF!</f>
        <v>#REF!</v>
      </c>
      <c r="B98" s="161" t="e">
        <f>#REF!</f>
        <v>#REF!</v>
      </c>
      <c r="C98" s="161" t="e">
        <f>#REF!</f>
        <v>#REF!</v>
      </c>
      <c r="D98" s="161" t="e">
        <f>#REF!</f>
        <v>#REF!</v>
      </c>
      <c r="E98" s="161" t="e">
        <f>#REF!</f>
        <v>#REF!</v>
      </c>
      <c r="F98" s="161" t="e">
        <f>#REF!</f>
        <v>#REF!</v>
      </c>
      <c r="G98" s="161" t="e">
        <f>#REF!</f>
        <v>#REF!</v>
      </c>
      <c r="H98" s="161" t="e">
        <f>#REF!</f>
        <v>#REF!</v>
      </c>
    </row>
    <row r="99" spans="1:8" x14ac:dyDescent="0.3">
      <c r="A99" s="161" t="e">
        <f>#REF!</f>
        <v>#REF!</v>
      </c>
      <c r="B99" s="161" t="e">
        <f>#REF!</f>
        <v>#REF!</v>
      </c>
      <c r="C99" s="161" t="e">
        <f>#REF!</f>
        <v>#REF!</v>
      </c>
      <c r="D99" s="161" t="e">
        <f>#REF!</f>
        <v>#REF!</v>
      </c>
      <c r="E99" s="161" t="e">
        <f>#REF!</f>
        <v>#REF!</v>
      </c>
      <c r="F99" s="161" t="e">
        <f>#REF!</f>
        <v>#REF!</v>
      </c>
      <c r="G99" s="161" t="e">
        <f>#REF!</f>
        <v>#REF!</v>
      </c>
      <c r="H99" s="161" t="e">
        <f>#REF!</f>
        <v>#REF!</v>
      </c>
    </row>
    <row r="100" spans="1:8" x14ac:dyDescent="0.3">
      <c r="A100" s="161" t="e">
        <f>#REF!</f>
        <v>#REF!</v>
      </c>
      <c r="B100" s="161" t="e">
        <f>#REF!</f>
        <v>#REF!</v>
      </c>
      <c r="C100" s="161" t="e">
        <f>#REF!</f>
        <v>#REF!</v>
      </c>
      <c r="D100" s="161" t="e">
        <f>#REF!</f>
        <v>#REF!</v>
      </c>
      <c r="E100" s="161" t="e">
        <f>#REF!</f>
        <v>#REF!</v>
      </c>
      <c r="F100" s="161" t="e">
        <f>#REF!</f>
        <v>#REF!</v>
      </c>
      <c r="G100" s="161" t="e">
        <f>#REF!</f>
        <v>#REF!</v>
      </c>
      <c r="H100" s="161" t="e">
        <f>#REF!</f>
        <v>#REF!</v>
      </c>
    </row>
    <row r="101" spans="1:8" x14ac:dyDescent="0.3">
      <c r="A101" s="161" t="e">
        <f>#REF!</f>
        <v>#REF!</v>
      </c>
      <c r="B101" s="161" t="e">
        <f>#REF!</f>
        <v>#REF!</v>
      </c>
      <c r="C101" s="161" t="e">
        <f>#REF!</f>
        <v>#REF!</v>
      </c>
      <c r="D101" s="161" t="e">
        <f>#REF!</f>
        <v>#REF!</v>
      </c>
      <c r="E101" s="161" t="e">
        <f>#REF!</f>
        <v>#REF!</v>
      </c>
      <c r="F101" s="161" t="e">
        <f>#REF!</f>
        <v>#REF!</v>
      </c>
      <c r="G101" s="161" t="e">
        <f>#REF!</f>
        <v>#REF!</v>
      </c>
      <c r="H101" s="161" t="e">
        <f>#REF!</f>
        <v>#REF!</v>
      </c>
    </row>
    <row r="102" spans="1:8" x14ac:dyDescent="0.3">
      <c r="A102" s="161" t="e">
        <f>#REF!</f>
        <v>#REF!</v>
      </c>
      <c r="B102" s="161" t="e">
        <f>#REF!</f>
        <v>#REF!</v>
      </c>
      <c r="C102" s="161" t="e">
        <f>#REF!</f>
        <v>#REF!</v>
      </c>
      <c r="D102" s="161" t="e">
        <f>#REF!</f>
        <v>#REF!</v>
      </c>
      <c r="E102" s="161" t="e">
        <f>#REF!</f>
        <v>#REF!</v>
      </c>
      <c r="F102" s="161" t="e">
        <f>#REF!</f>
        <v>#REF!</v>
      </c>
      <c r="G102" s="161" t="e">
        <f>#REF!</f>
        <v>#REF!</v>
      </c>
      <c r="H102" s="161" t="e">
        <f>#REF!</f>
        <v>#REF!</v>
      </c>
    </row>
    <row r="103" spans="1:8" x14ac:dyDescent="0.3">
      <c r="A103" s="161" t="e">
        <f>#REF!</f>
        <v>#REF!</v>
      </c>
      <c r="B103" s="161" t="e">
        <f>#REF!</f>
        <v>#REF!</v>
      </c>
      <c r="C103" s="161" t="e">
        <f>#REF!</f>
        <v>#REF!</v>
      </c>
      <c r="D103" s="161" t="e">
        <f>#REF!</f>
        <v>#REF!</v>
      </c>
      <c r="E103" s="161" t="e">
        <f>#REF!</f>
        <v>#REF!</v>
      </c>
      <c r="F103" s="161" t="e">
        <f>#REF!</f>
        <v>#REF!</v>
      </c>
      <c r="G103" s="161" t="e">
        <f>#REF!</f>
        <v>#REF!</v>
      </c>
      <c r="H103" s="161" t="e">
        <f>#REF!</f>
        <v>#REF!</v>
      </c>
    </row>
    <row r="104" spans="1:8" x14ac:dyDescent="0.3">
      <c r="A104" s="161" t="e">
        <f>#REF!</f>
        <v>#REF!</v>
      </c>
      <c r="B104" s="161" t="e">
        <f>#REF!</f>
        <v>#REF!</v>
      </c>
      <c r="C104" s="161" t="e">
        <f>#REF!</f>
        <v>#REF!</v>
      </c>
      <c r="D104" s="161" t="e">
        <f>#REF!</f>
        <v>#REF!</v>
      </c>
      <c r="E104" s="161" t="e">
        <f>#REF!</f>
        <v>#REF!</v>
      </c>
      <c r="F104" s="161" t="e">
        <f>#REF!</f>
        <v>#REF!</v>
      </c>
      <c r="G104" s="161" t="e">
        <f>#REF!</f>
        <v>#REF!</v>
      </c>
      <c r="H104" s="161" t="e">
        <f>#REF!</f>
        <v>#REF!</v>
      </c>
    </row>
    <row r="105" spans="1:8" x14ac:dyDescent="0.3">
      <c r="A105" s="161" t="e">
        <f>#REF!</f>
        <v>#REF!</v>
      </c>
      <c r="B105" s="161" t="e">
        <f>#REF!</f>
        <v>#REF!</v>
      </c>
      <c r="C105" s="161" t="e">
        <f>#REF!</f>
        <v>#REF!</v>
      </c>
      <c r="D105" s="161" t="e">
        <f>#REF!</f>
        <v>#REF!</v>
      </c>
      <c r="E105" s="161" t="e">
        <f>#REF!</f>
        <v>#REF!</v>
      </c>
      <c r="F105" s="161" t="e">
        <f>#REF!</f>
        <v>#REF!</v>
      </c>
      <c r="G105" s="161" t="e">
        <f>#REF!</f>
        <v>#REF!</v>
      </c>
      <c r="H105" s="161" t="e">
        <f>#REF!</f>
        <v>#REF!</v>
      </c>
    </row>
    <row r="106" spans="1:8" x14ac:dyDescent="0.3">
      <c r="A106" s="161" t="e">
        <f>#REF!</f>
        <v>#REF!</v>
      </c>
      <c r="B106" s="161" t="e">
        <f>#REF!</f>
        <v>#REF!</v>
      </c>
      <c r="C106" s="161" t="e">
        <f>#REF!</f>
        <v>#REF!</v>
      </c>
      <c r="D106" s="161" t="e">
        <f>#REF!</f>
        <v>#REF!</v>
      </c>
      <c r="E106" s="161" t="e">
        <f>#REF!</f>
        <v>#REF!</v>
      </c>
      <c r="F106" s="161" t="e">
        <f>#REF!</f>
        <v>#REF!</v>
      </c>
      <c r="G106" s="161" t="e">
        <f>#REF!</f>
        <v>#REF!</v>
      </c>
      <c r="H106" s="161" t="e">
        <f>#REF!</f>
        <v>#REF!</v>
      </c>
    </row>
    <row r="107" spans="1:8" x14ac:dyDescent="0.3">
      <c r="A107" s="161" t="e">
        <f>#REF!</f>
        <v>#REF!</v>
      </c>
      <c r="B107" s="161" t="e">
        <f>#REF!</f>
        <v>#REF!</v>
      </c>
      <c r="C107" s="161" t="e">
        <f>#REF!</f>
        <v>#REF!</v>
      </c>
      <c r="D107" s="161" t="e">
        <f>#REF!</f>
        <v>#REF!</v>
      </c>
      <c r="E107" s="161" t="e">
        <f>#REF!</f>
        <v>#REF!</v>
      </c>
      <c r="F107" s="161" t="e">
        <f>#REF!</f>
        <v>#REF!</v>
      </c>
      <c r="G107" s="161" t="e">
        <f>#REF!</f>
        <v>#REF!</v>
      </c>
      <c r="H107" s="161" t="e">
        <f>#REF!</f>
        <v>#REF!</v>
      </c>
    </row>
    <row r="108" spans="1:8" x14ac:dyDescent="0.3">
      <c r="A108" s="161" t="e">
        <f>#REF!</f>
        <v>#REF!</v>
      </c>
      <c r="B108" s="161" t="e">
        <f>#REF!</f>
        <v>#REF!</v>
      </c>
      <c r="C108" s="161" t="e">
        <f>#REF!</f>
        <v>#REF!</v>
      </c>
      <c r="D108" s="161" t="e">
        <f>#REF!</f>
        <v>#REF!</v>
      </c>
      <c r="E108" s="161" t="e">
        <f>#REF!</f>
        <v>#REF!</v>
      </c>
      <c r="F108" s="161" t="e">
        <f>#REF!</f>
        <v>#REF!</v>
      </c>
      <c r="G108" s="161" t="e">
        <f>#REF!</f>
        <v>#REF!</v>
      </c>
      <c r="H108" s="161" t="e">
        <f>#REF!</f>
        <v>#REF!</v>
      </c>
    </row>
    <row r="109" spans="1:8" x14ac:dyDescent="0.3">
      <c r="A109" s="161" t="e">
        <f>#REF!</f>
        <v>#REF!</v>
      </c>
      <c r="B109" s="161" t="e">
        <f>#REF!</f>
        <v>#REF!</v>
      </c>
      <c r="C109" s="161" t="e">
        <f>#REF!</f>
        <v>#REF!</v>
      </c>
      <c r="D109" s="161" t="e">
        <f>#REF!</f>
        <v>#REF!</v>
      </c>
      <c r="E109" s="161" t="e">
        <f>#REF!</f>
        <v>#REF!</v>
      </c>
      <c r="F109" s="161" t="e">
        <f>#REF!</f>
        <v>#REF!</v>
      </c>
      <c r="G109" s="161" t="e">
        <f>#REF!</f>
        <v>#REF!</v>
      </c>
      <c r="H109" s="161" t="e">
        <f>#REF!</f>
        <v>#REF!</v>
      </c>
    </row>
    <row r="110" spans="1:8" x14ac:dyDescent="0.3">
      <c r="A110" s="161" t="e">
        <f>#REF!</f>
        <v>#REF!</v>
      </c>
      <c r="B110" s="161" t="e">
        <f>#REF!</f>
        <v>#REF!</v>
      </c>
      <c r="C110" s="161" t="e">
        <f>#REF!</f>
        <v>#REF!</v>
      </c>
      <c r="D110" s="161" t="e">
        <f>#REF!</f>
        <v>#REF!</v>
      </c>
      <c r="E110" s="161" t="e">
        <f>#REF!</f>
        <v>#REF!</v>
      </c>
      <c r="F110" s="161" t="e">
        <f>#REF!</f>
        <v>#REF!</v>
      </c>
      <c r="G110" s="161" t="e">
        <f>#REF!</f>
        <v>#REF!</v>
      </c>
      <c r="H110" s="161" t="e">
        <f>#REF!</f>
        <v>#REF!</v>
      </c>
    </row>
    <row r="111" spans="1:8" x14ac:dyDescent="0.3">
      <c r="A111" s="161" t="e">
        <f>#REF!</f>
        <v>#REF!</v>
      </c>
      <c r="B111" s="161" t="e">
        <f>#REF!</f>
        <v>#REF!</v>
      </c>
      <c r="C111" s="161" t="e">
        <f>#REF!</f>
        <v>#REF!</v>
      </c>
      <c r="D111" s="161" t="e">
        <f>#REF!</f>
        <v>#REF!</v>
      </c>
      <c r="E111" s="161" t="e">
        <f>#REF!</f>
        <v>#REF!</v>
      </c>
      <c r="F111" s="161" t="e">
        <f>#REF!</f>
        <v>#REF!</v>
      </c>
      <c r="G111" s="161" t="e">
        <f>#REF!</f>
        <v>#REF!</v>
      </c>
      <c r="H111" s="161" t="e">
        <f>#REF!</f>
        <v>#REF!</v>
      </c>
    </row>
    <row r="112" spans="1:8" x14ac:dyDescent="0.3">
      <c r="A112" s="161" t="e">
        <f>#REF!</f>
        <v>#REF!</v>
      </c>
      <c r="B112" s="161" t="e">
        <f>#REF!</f>
        <v>#REF!</v>
      </c>
      <c r="C112" s="161" t="e">
        <f>#REF!</f>
        <v>#REF!</v>
      </c>
      <c r="D112" s="161" t="e">
        <f>#REF!</f>
        <v>#REF!</v>
      </c>
      <c r="E112" s="161" t="e">
        <f>#REF!</f>
        <v>#REF!</v>
      </c>
      <c r="F112" s="161" t="e">
        <f>#REF!</f>
        <v>#REF!</v>
      </c>
      <c r="G112" s="161" t="e">
        <f>#REF!</f>
        <v>#REF!</v>
      </c>
      <c r="H112" s="161" t="e">
        <f>#REF!</f>
        <v>#REF!</v>
      </c>
    </row>
    <row r="113" spans="1:8" x14ac:dyDescent="0.3">
      <c r="A113" s="161" t="e">
        <f>#REF!</f>
        <v>#REF!</v>
      </c>
      <c r="B113" s="161" t="e">
        <f>#REF!</f>
        <v>#REF!</v>
      </c>
      <c r="C113" s="161" t="e">
        <f>#REF!</f>
        <v>#REF!</v>
      </c>
      <c r="D113" s="161" t="e">
        <f>#REF!</f>
        <v>#REF!</v>
      </c>
      <c r="E113" s="161" t="e">
        <f>#REF!</f>
        <v>#REF!</v>
      </c>
      <c r="F113" s="161" t="e">
        <f>#REF!</f>
        <v>#REF!</v>
      </c>
      <c r="G113" s="161" t="e">
        <f>#REF!</f>
        <v>#REF!</v>
      </c>
      <c r="H113" s="161" t="e">
        <f>#REF!</f>
        <v>#REF!</v>
      </c>
    </row>
    <row r="114" spans="1:8" x14ac:dyDescent="0.3">
      <c r="A114" s="161" t="e">
        <f>#REF!</f>
        <v>#REF!</v>
      </c>
      <c r="B114" s="161" t="e">
        <f>#REF!</f>
        <v>#REF!</v>
      </c>
      <c r="C114" s="161" t="e">
        <f>#REF!</f>
        <v>#REF!</v>
      </c>
      <c r="D114" s="161" t="e">
        <f>#REF!</f>
        <v>#REF!</v>
      </c>
      <c r="E114" s="161" t="e">
        <f>#REF!</f>
        <v>#REF!</v>
      </c>
      <c r="F114" s="161" t="e">
        <f>#REF!</f>
        <v>#REF!</v>
      </c>
      <c r="G114" s="161" t="e">
        <f>#REF!</f>
        <v>#REF!</v>
      </c>
      <c r="H114" s="161" t="e">
        <f>#REF!</f>
        <v>#REF!</v>
      </c>
    </row>
    <row r="115" spans="1:8" x14ac:dyDescent="0.3">
      <c r="A115" s="161" t="e">
        <f>#REF!</f>
        <v>#REF!</v>
      </c>
      <c r="B115" s="161" t="e">
        <f>#REF!</f>
        <v>#REF!</v>
      </c>
      <c r="C115" s="161" t="e">
        <f>#REF!</f>
        <v>#REF!</v>
      </c>
      <c r="D115" s="161" t="e">
        <f>#REF!</f>
        <v>#REF!</v>
      </c>
      <c r="E115" s="161" t="e">
        <f>#REF!</f>
        <v>#REF!</v>
      </c>
      <c r="F115" s="161" t="e">
        <f>#REF!</f>
        <v>#REF!</v>
      </c>
      <c r="G115" s="161" t="e">
        <f>#REF!</f>
        <v>#REF!</v>
      </c>
      <c r="H115" s="161" t="e">
        <f>#REF!</f>
        <v>#REF!</v>
      </c>
    </row>
    <row r="116" spans="1:8" x14ac:dyDescent="0.3">
      <c r="A116" s="161" t="e">
        <f>#REF!</f>
        <v>#REF!</v>
      </c>
      <c r="B116" s="161" t="e">
        <f>#REF!</f>
        <v>#REF!</v>
      </c>
      <c r="C116" s="161" t="e">
        <f>#REF!</f>
        <v>#REF!</v>
      </c>
      <c r="D116" s="161" t="e">
        <f>#REF!</f>
        <v>#REF!</v>
      </c>
      <c r="E116" s="161" t="e">
        <f>#REF!</f>
        <v>#REF!</v>
      </c>
      <c r="F116" s="161" t="e">
        <f>#REF!</f>
        <v>#REF!</v>
      </c>
      <c r="G116" s="161" t="e">
        <f>#REF!</f>
        <v>#REF!</v>
      </c>
      <c r="H116" s="161" t="e">
        <f>#REF!</f>
        <v>#REF!</v>
      </c>
    </row>
    <row r="117" spans="1:8" x14ac:dyDescent="0.3">
      <c r="A117" s="161" t="e">
        <f>#REF!</f>
        <v>#REF!</v>
      </c>
      <c r="B117" s="161" t="e">
        <f>#REF!</f>
        <v>#REF!</v>
      </c>
      <c r="C117" s="161" t="e">
        <f>#REF!</f>
        <v>#REF!</v>
      </c>
      <c r="D117" s="161" t="e">
        <f>#REF!</f>
        <v>#REF!</v>
      </c>
      <c r="E117" s="161" t="e">
        <f>#REF!</f>
        <v>#REF!</v>
      </c>
      <c r="F117" s="161" t="e">
        <f>#REF!</f>
        <v>#REF!</v>
      </c>
      <c r="G117" s="161" t="e">
        <f>#REF!</f>
        <v>#REF!</v>
      </c>
      <c r="H117" s="161" t="e">
        <f>#REF!</f>
        <v>#REF!</v>
      </c>
    </row>
    <row r="118" spans="1:8" x14ac:dyDescent="0.3">
      <c r="A118" s="161" t="e">
        <f>#REF!</f>
        <v>#REF!</v>
      </c>
      <c r="B118" s="161" t="e">
        <f>#REF!</f>
        <v>#REF!</v>
      </c>
      <c r="C118" s="161" t="e">
        <f>#REF!</f>
        <v>#REF!</v>
      </c>
      <c r="D118" s="161" t="e">
        <f>#REF!</f>
        <v>#REF!</v>
      </c>
      <c r="E118" s="161" t="e">
        <f>#REF!</f>
        <v>#REF!</v>
      </c>
      <c r="F118" s="161" t="e">
        <f>#REF!</f>
        <v>#REF!</v>
      </c>
      <c r="G118" s="161" t="e">
        <f>#REF!</f>
        <v>#REF!</v>
      </c>
      <c r="H118" s="161" t="e">
        <f>#REF!</f>
        <v>#REF!</v>
      </c>
    </row>
    <row r="119" spans="1:8" x14ac:dyDescent="0.3">
      <c r="A119" s="161" t="e">
        <f>#REF!</f>
        <v>#REF!</v>
      </c>
      <c r="B119" s="161" t="e">
        <f>#REF!</f>
        <v>#REF!</v>
      </c>
      <c r="C119" s="161" t="e">
        <f>#REF!</f>
        <v>#REF!</v>
      </c>
      <c r="D119" s="161" t="e">
        <f>#REF!</f>
        <v>#REF!</v>
      </c>
      <c r="E119" s="161" t="e">
        <f>#REF!</f>
        <v>#REF!</v>
      </c>
      <c r="F119" s="161" t="e">
        <f>#REF!</f>
        <v>#REF!</v>
      </c>
      <c r="G119" s="161" t="e">
        <f>#REF!</f>
        <v>#REF!</v>
      </c>
      <c r="H119" s="161" t="e">
        <f>#REF!</f>
        <v>#REF!</v>
      </c>
    </row>
    <row r="120" spans="1:8" x14ac:dyDescent="0.3">
      <c r="A120" s="161" t="e">
        <f>#REF!</f>
        <v>#REF!</v>
      </c>
      <c r="B120" s="161" t="e">
        <f>#REF!</f>
        <v>#REF!</v>
      </c>
      <c r="C120" s="161" t="e">
        <f>#REF!</f>
        <v>#REF!</v>
      </c>
      <c r="D120" s="161" t="e">
        <f>#REF!</f>
        <v>#REF!</v>
      </c>
      <c r="E120" s="161" t="e">
        <f>#REF!</f>
        <v>#REF!</v>
      </c>
      <c r="F120" s="161" t="e">
        <f>#REF!</f>
        <v>#REF!</v>
      </c>
      <c r="G120" s="161" t="e">
        <f>#REF!</f>
        <v>#REF!</v>
      </c>
      <c r="H120" s="161" t="e">
        <f>#REF!</f>
        <v>#REF!</v>
      </c>
    </row>
    <row r="121" spans="1:8" x14ac:dyDescent="0.3">
      <c r="A121" s="161" t="e">
        <f>#REF!</f>
        <v>#REF!</v>
      </c>
      <c r="B121" s="161" t="e">
        <f>#REF!</f>
        <v>#REF!</v>
      </c>
      <c r="C121" s="161" t="e">
        <f>#REF!</f>
        <v>#REF!</v>
      </c>
      <c r="D121" s="161" t="e">
        <f>#REF!</f>
        <v>#REF!</v>
      </c>
      <c r="E121" s="161" t="e">
        <f>#REF!</f>
        <v>#REF!</v>
      </c>
      <c r="F121" s="161" t="e">
        <f>#REF!</f>
        <v>#REF!</v>
      </c>
      <c r="G121" s="161" t="e">
        <f>#REF!</f>
        <v>#REF!</v>
      </c>
      <c r="H121" s="161" t="e">
        <f>#REF!</f>
        <v>#REF!</v>
      </c>
    </row>
    <row r="122" spans="1:8" x14ac:dyDescent="0.3">
      <c r="A122" s="161" t="e">
        <f>#REF!</f>
        <v>#REF!</v>
      </c>
      <c r="B122" s="161" t="e">
        <f>#REF!</f>
        <v>#REF!</v>
      </c>
      <c r="C122" s="161" t="e">
        <f>#REF!</f>
        <v>#REF!</v>
      </c>
      <c r="D122" s="161" t="e">
        <f>#REF!</f>
        <v>#REF!</v>
      </c>
      <c r="E122" s="161" t="e">
        <f>#REF!</f>
        <v>#REF!</v>
      </c>
      <c r="F122" s="161" t="e">
        <f>#REF!</f>
        <v>#REF!</v>
      </c>
      <c r="G122" s="161" t="e">
        <f>#REF!</f>
        <v>#REF!</v>
      </c>
      <c r="H122" s="161" t="e">
        <f>#REF!</f>
        <v>#REF!</v>
      </c>
    </row>
    <row r="123" spans="1:8" x14ac:dyDescent="0.3">
      <c r="A123" s="161" t="e">
        <f>#REF!</f>
        <v>#REF!</v>
      </c>
      <c r="B123" s="161" t="e">
        <f>#REF!</f>
        <v>#REF!</v>
      </c>
      <c r="C123" s="161" t="e">
        <f>#REF!</f>
        <v>#REF!</v>
      </c>
      <c r="D123" s="161" t="e">
        <f>#REF!</f>
        <v>#REF!</v>
      </c>
      <c r="E123" s="161" t="e">
        <f>#REF!</f>
        <v>#REF!</v>
      </c>
      <c r="F123" s="161" t="e">
        <f>#REF!</f>
        <v>#REF!</v>
      </c>
      <c r="G123" s="161" t="e">
        <f>#REF!</f>
        <v>#REF!</v>
      </c>
      <c r="H123" s="161" t="e">
        <f>#REF!</f>
        <v>#REF!</v>
      </c>
    </row>
    <row r="124" spans="1:8" x14ac:dyDescent="0.3">
      <c r="A124" s="161" t="e">
        <f>#REF!</f>
        <v>#REF!</v>
      </c>
      <c r="B124" s="161" t="e">
        <f>#REF!</f>
        <v>#REF!</v>
      </c>
      <c r="C124" s="161" t="e">
        <f>#REF!</f>
        <v>#REF!</v>
      </c>
      <c r="D124" s="161" t="e">
        <f>#REF!</f>
        <v>#REF!</v>
      </c>
      <c r="E124" s="161" t="e">
        <f>#REF!</f>
        <v>#REF!</v>
      </c>
      <c r="F124" s="161" t="e">
        <f>#REF!</f>
        <v>#REF!</v>
      </c>
      <c r="G124" s="161" t="e">
        <f>#REF!</f>
        <v>#REF!</v>
      </c>
      <c r="H124" s="161" t="e">
        <f>#REF!</f>
        <v>#REF!</v>
      </c>
    </row>
    <row r="125" spans="1:8" x14ac:dyDescent="0.3">
      <c r="A125" s="161" t="e">
        <f>#REF!</f>
        <v>#REF!</v>
      </c>
      <c r="B125" s="161" t="e">
        <f>#REF!</f>
        <v>#REF!</v>
      </c>
      <c r="C125" s="161" t="e">
        <f>#REF!</f>
        <v>#REF!</v>
      </c>
      <c r="D125" s="161" t="e">
        <f>#REF!</f>
        <v>#REF!</v>
      </c>
      <c r="E125" s="161" t="e">
        <f>#REF!</f>
        <v>#REF!</v>
      </c>
      <c r="F125" s="161" t="e">
        <f>#REF!</f>
        <v>#REF!</v>
      </c>
      <c r="G125" s="161" t="e">
        <f>#REF!</f>
        <v>#REF!</v>
      </c>
      <c r="H125" s="161" t="e">
        <f>#REF!</f>
        <v>#REF!</v>
      </c>
    </row>
    <row r="126" spans="1:8" x14ac:dyDescent="0.3">
      <c r="A126" s="161" t="e">
        <f>#REF!</f>
        <v>#REF!</v>
      </c>
      <c r="B126" s="161" t="e">
        <f>#REF!</f>
        <v>#REF!</v>
      </c>
      <c r="C126" s="161" t="e">
        <f>#REF!</f>
        <v>#REF!</v>
      </c>
      <c r="D126" s="161" t="e">
        <f>#REF!</f>
        <v>#REF!</v>
      </c>
      <c r="E126" s="161" t="e">
        <f>#REF!</f>
        <v>#REF!</v>
      </c>
      <c r="F126" s="161" t="e">
        <f>#REF!</f>
        <v>#REF!</v>
      </c>
      <c r="G126" s="161" t="e">
        <f>#REF!</f>
        <v>#REF!</v>
      </c>
      <c r="H126" s="161" t="e">
        <f>#REF!</f>
        <v>#REF!</v>
      </c>
    </row>
    <row r="127" spans="1:8" x14ac:dyDescent="0.3">
      <c r="A127" s="161" t="e">
        <f>#REF!</f>
        <v>#REF!</v>
      </c>
      <c r="B127" s="161" t="e">
        <f>#REF!</f>
        <v>#REF!</v>
      </c>
      <c r="C127" s="161" t="e">
        <f>#REF!</f>
        <v>#REF!</v>
      </c>
      <c r="D127" s="161" t="e">
        <f>#REF!</f>
        <v>#REF!</v>
      </c>
      <c r="E127" s="161" t="e">
        <f>#REF!</f>
        <v>#REF!</v>
      </c>
      <c r="F127" s="161" t="e">
        <f>#REF!</f>
        <v>#REF!</v>
      </c>
      <c r="G127" s="161" t="e">
        <f>#REF!</f>
        <v>#REF!</v>
      </c>
      <c r="H127" s="161" t="e">
        <f>#REF!</f>
        <v>#REF!</v>
      </c>
    </row>
    <row r="128" spans="1:8" x14ac:dyDescent="0.3">
      <c r="A128" s="161" t="e">
        <f>#REF!</f>
        <v>#REF!</v>
      </c>
      <c r="B128" s="161" t="e">
        <f>#REF!</f>
        <v>#REF!</v>
      </c>
      <c r="C128" s="161" t="e">
        <f>#REF!</f>
        <v>#REF!</v>
      </c>
      <c r="D128" s="161" t="e">
        <f>#REF!</f>
        <v>#REF!</v>
      </c>
      <c r="E128" s="161" t="e">
        <f>#REF!</f>
        <v>#REF!</v>
      </c>
      <c r="F128" s="161" t="e">
        <f>#REF!</f>
        <v>#REF!</v>
      </c>
      <c r="G128" s="161" t="e">
        <f>#REF!</f>
        <v>#REF!</v>
      </c>
      <c r="H128" s="161" t="e">
        <f>#REF!</f>
        <v>#REF!</v>
      </c>
    </row>
    <row r="129" spans="1:8" x14ac:dyDescent="0.3">
      <c r="A129" s="161" t="e">
        <f>#REF!</f>
        <v>#REF!</v>
      </c>
      <c r="B129" s="161" t="e">
        <f>#REF!</f>
        <v>#REF!</v>
      </c>
      <c r="C129" s="161" t="e">
        <f>#REF!</f>
        <v>#REF!</v>
      </c>
      <c r="D129" s="161" t="e">
        <f>#REF!</f>
        <v>#REF!</v>
      </c>
      <c r="E129" s="161" t="e">
        <f>#REF!</f>
        <v>#REF!</v>
      </c>
      <c r="F129" s="161" t="e">
        <f>#REF!</f>
        <v>#REF!</v>
      </c>
      <c r="G129" s="161" t="e">
        <f>#REF!</f>
        <v>#REF!</v>
      </c>
      <c r="H129" s="161" t="e">
        <f>#REF!</f>
        <v>#REF!</v>
      </c>
    </row>
    <row r="130" spans="1:8" x14ac:dyDescent="0.3">
      <c r="A130" s="161" t="e">
        <f>#REF!</f>
        <v>#REF!</v>
      </c>
      <c r="B130" s="161" t="e">
        <f>#REF!</f>
        <v>#REF!</v>
      </c>
      <c r="C130" s="161" t="e">
        <f>#REF!</f>
        <v>#REF!</v>
      </c>
      <c r="D130" s="161" t="e">
        <f>#REF!</f>
        <v>#REF!</v>
      </c>
      <c r="E130" s="161" t="e">
        <f>#REF!</f>
        <v>#REF!</v>
      </c>
      <c r="F130" s="161" t="e">
        <f>#REF!</f>
        <v>#REF!</v>
      </c>
      <c r="G130" s="161" t="e">
        <f>#REF!</f>
        <v>#REF!</v>
      </c>
      <c r="H130" s="161" t="e">
        <f>#REF!</f>
        <v>#REF!</v>
      </c>
    </row>
    <row r="131" spans="1:8" x14ac:dyDescent="0.3">
      <c r="A131" s="161" t="e">
        <f>#REF!</f>
        <v>#REF!</v>
      </c>
      <c r="B131" s="161" t="e">
        <f>#REF!</f>
        <v>#REF!</v>
      </c>
      <c r="C131" s="161" t="e">
        <f>#REF!</f>
        <v>#REF!</v>
      </c>
      <c r="D131" s="161" t="e">
        <f>#REF!</f>
        <v>#REF!</v>
      </c>
      <c r="E131" s="161" t="e">
        <f>#REF!</f>
        <v>#REF!</v>
      </c>
      <c r="F131" s="161" t="e">
        <f>#REF!</f>
        <v>#REF!</v>
      </c>
      <c r="G131" s="161" t="e">
        <f>#REF!</f>
        <v>#REF!</v>
      </c>
      <c r="H131" s="161" t="e">
        <f>#REF!</f>
        <v>#REF!</v>
      </c>
    </row>
    <row r="132" spans="1:8" x14ac:dyDescent="0.3">
      <c r="A132" s="161" t="e">
        <f>#REF!</f>
        <v>#REF!</v>
      </c>
      <c r="B132" s="161" t="e">
        <f>#REF!</f>
        <v>#REF!</v>
      </c>
      <c r="C132" s="161" t="e">
        <f>#REF!</f>
        <v>#REF!</v>
      </c>
      <c r="D132" s="161" t="e">
        <f>#REF!</f>
        <v>#REF!</v>
      </c>
      <c r="E132" s="161" t="e">
        <f>#REF!</f>
        <v>#REF!</v>
      </c>
      <c r="F132" s="161" t="e">
        <f>#REF!</f>
        <v>#REF!</v>
      </c>
      <c r="G132" s="161" t="e">
        <f>#REF!</f>
        <v>#REF!</v>
      </c>
      <c r="H132" s="161" t="e">
        <f>#REF!</f>
        <v>#REF!</v>
      </c>
    </row>
    <row r="133" spans="1:8" x14ac:dyDescent="0.3">
      <c r="A133" s="161" t="e">
        <f>#REF!</f>
        <v>#REF!</v>
      </c>
      <c r="B133" s="161" t="e">
        <f>#REF!</f>
        <v>#REF!</v>
      </c>
      <c r="C133" s="161" t="e">
        <f>#REF!</f>
        <v>#REF!</v>
      </c>
      <c r="D133" s="161" t="e">
        <f>#REF!</f>
        <v>#REF!</v>
      </c>
      <c r="E133" s="161" t="e">
        <f>#REF!</f>
        <v>#REF!</v>
      </c>
      <c r="F133" s="161" t="e">
        <f>#REF!</f>
        <v>#REF!</v>
      </c>
      <c r="G133" s="161" t="e">
        <f>#REF!</f>
        <v>#REF!</v>
      </c>
      <c r="H133" s="161" t="e">
        <f>#REF!</f>
        <v>#REF!</v>
      </c>
    </row>
    <row r="134" spans="1:8" x14ac:dyDescent="0.3">
      <c r="A134" s="161" t="e">
        <f>#REF!</f>
        <v>#REF!</v>
      </c>
      <c r="B134" s="161" t="e">
        <f>#REF!</f>
        <v>#REF!</v>
      </c>
      <c r="C134" s="161" t="e">
        <f>#REF!</f>
        <v>#REF!</v>
      </c>
      <c r="D134" s="161" t="e">
        <f>#REF!</f>
        <v>#REF!</v>
      </c>
      <c r="E134" s="161" t="e">
        <f>#REF!</f>
        <v>#REF!</v>
      </c>
      <c r="F134" s="161" t="e">
        <f>#REF!</f>
        <v>#REF!</v>
      </c>
      <c r="G134" s="161" t="e">
        <f>#REF!</f>
        <v>#REF!</v>
      </c>
      <c r="H134" s="161" t="e">
        <f>#REF!</f>
        <v>#REF!</v>
      </c>
    </row>
    <row r="135" spans="1:8" x14ac:dyDescent="0.3">
      <c r="A135" s="161" t="e">
        <f>#REF!</f>
        <v>#REF!</v>
      </c>
      <c r="B135" s="161" t="e">
        <f>#REF!</f>
        <v>#REF!</v>
      </c>
      <c r="C135" s="161" t="e">
        <f>#REF!</f>
        <v>#REF!</v>
      </c>
      <c r="D135" s="161" t="e">
        <f>#REF!</f>
        <v>#REF!</v>
      </c>
      <c r="E135" s="161" t="e">
        <f>#REF!</f>
        <v>#REF!</v>
      </c>
      <c r="F135" s="161" t="e">
        <f>#REF!</f>
        <v>#REF!</v>
      </c>
      <c r="G135" s="161" t="e">
        <f>#REF!</f>
        <v>#REF!</v>
      </c>
      <c r="H135" s="161" t="e">
        <f>#REF!</f>
        <v>#REF!</v>
      </c>
    </row>
    <row r="136" spans="1:8" x14ac:dyDescent="0.3">
      <c r="A136" s="161" t="e">
        <f>#REF!</f>
        <v>#REF!</v>
      </c>
      <c r="B136" s="161" t="e">
        <f>#REF!</f>
        <v>#REF!</v>
      </c>
      <c r="C136" s="161" t="e">
        <f>#REF!</f>
        <v>#REF!</v>
      </c>
      <c r="D136" s="161" t="e">
        <f>#REF!</f>
        <v>#REF!</v>
      </c>
      <c r="E136" s="161" t="e">
        <f>#REF!</f>
        <v>#REF!</v>
      </c>
      <c r="F136" s="161" t="e">
        <f>#REF!</f>
        <v>#REF!</v>
      </c>
      <c r="G136" s="161" t="e">
        <f>#REF!</f>
        <v>#REF!</v>
      </c>
      <c r="H136" s="161" t="e">
        <f>#REF!</f>
        <v>#REF!</v>
      </c>
    </row>
    <row r="137" spans="1:8" x14ac:dyDescent="0.3">
      <c r="A137" s="161" t="e">
        <f>#REF!</f>
        <v>#REF!</v>
      </c>
      <c r="B137" s="161" t="e">
        <f>#REF!</f>
        <v>#REF!</v>
      </c>
      <c r="C137" s="161" t="e">
        <f>#REF!</f>
        <v>#REF!</v>
      </c>
      <c r="D137" s="161" t="e">
        <f>#REF!</f>
        <v>#REF!</v>
      </c>
      <c r="E137" s="161" t="e">
        <f>#REF!</f>
        <v>#REF!</v>
      </c>
      <c r="F137" s="161" t="e">
        <f>#REF!</f>
        <v>#REF!</v>
      </c>
      <c r="G137" s="161" t="e">
        <f>#REF!</f>
        <v>#REF!</v>
      </c>
      <c r="H137" s="161" t="e">
        <f>#REF!</f>
        <v>#REF!</v>
      </c>
    </row>
    <row r="138" spans="1:8" x14ac:dyDescent="0.3">
      <c r="A138" s="161" t="e">
        <f>#REF!</f>
        <v>#REF!</v>
      </c>
      <c r="B138" s="161" t="e">
        <f>#REF!</f>
        <v>#REF!</v>
      </c>
      <c r="C138" s="161" t="e">
        <f>#REF!</f>
        <v>#REF!</v>
      </c>
      <c r="D138" s="161" t="e">
        <f>#REF!</f>
        <v>#REF!</v>
      </c>
      <c r="E138" s="161" t="e">
        <f>#REF!</f>
        <v>#REF!</v>
      </c>
      <c r="F138" s="161" t="e">
        <f>#REF!</f>
        <v>#REF!</v>
      </c>
      <c r="G138" s="161" t="e">
        <f>#REF!</f>
        <v>#REF!</v>
      </c>
      <c r="H138" s="161" t="e">
        <f>#REF!</f>
        <v>#REF!</v>
      </c>
    </row>
    <row r="139" spans="1:8" x14ac:dyDescent="0.3">
      <c r="A139" s="161" t="e">
        <f>#REF!</f>
        <v>#REF!</v>
      </c>
      <c r="B139" s="161" t="e">
        <f>#REF!</f>
        <v>#REF!</v>
      </c>
      <c r="C139" s="161" t="e">
        <f>#REF!</f>
        <v>#REF!</v>
      </c>
      <c r="D139" s="161" t="e">
        <f>#REF!</f>
        <v>#REF!</v>
      </c>
      <c r="E139" s="161" t="e">
        <f>#REF!</f>
        <v>#REF!</v>
      </c>
      <c r="F139" s="161" t="e">
        <f>#REF!</f>
        <v>#REF!</v>
      </c>
      <c r="G139" s="161" t="e">
        <f>#REF!</f>
        <v>#REF!</v>
      </c>
      <c r="H139" s="161" t="e">
        <f>#REF!</f>
        <v>#REF!</v>
      </c>
    </row>
    <row r="140" spans="1:8" x14ac:dyDescent="0.3">
      <c r="A140" s="161" t="e">
        <f>#REF!</f>
        <v>#REF!</v>
      </c>
      <c r="B140" s="161" t="e">
        <f>#REF!</f>
        <v>#REF!</v>
      </c>
      <c r="C140" s="161" t="e">
        <f>#REF!</f>
        <v>#REF!</v>
      </c>
      <c r="D140" s="161" t="e">
        <f>#REF!</f>
        <v>#REF!</v>
      </c>
      <c r="E140" s="161" t="e">
        <f>#REF!</f>
        <v>#REF!</v>
      </c>
      <c r="F140" s="161" t="e">
        <f>#REF!</f>
        <v>#REF!</v>
      </c>
      <c r="G140" s="161" t="e">
        <f>#REF!</f>
        <v>#REF!</v>
      </c>
      <c r="H140" s="161" t="e">
        <f>#REF!</f>
        <v>#REF!</v>
      </c>
    </row>
    <row r="141" spans="1:8" x14ac:dyDescent="0.3">
      <c r="A141" s="161" t="e">
        <f>#REF!</f>
        <v>#REF!</v>
      </c>
      <c r="B141" s="161" t="e">
        <f>#REF!</f>
        <v>#REF!</v>
      </c>
      <c r="C141" s="161" t="e">
        <f>#REF!</f>
        <v>#REF!</v>
      </c>
      <c r="D141" s="161" t="e">
        <f>#REF!</f>
        <v>#REF!</v>
      </c>
      <c r="E141" s="161" t="e">
        <f>#REF!</f>
        <v>#REF!</v>
      </c>
      <c r="F141" s="161" t="e">
        <f>#REF!</f>
        <v>#REF!</v>
      </c>
      <c r="G141" s="161" t="e">
        <f>#REF!</f>
        <v>#REF!</v>
      </c>
      <c r="H141" s="161" t="e">
        <f>#REF!</f>
        <v>#REF!</v>
      </c>
    </row>
    <row r="142" spans="1:8" x14ac:dyDescent="0.3">
      <c r="A142" s="161" t="e">
        <f>#REF!</f>
        <v>#REF!</v>
      </c>
      <c r="B142" s="161" t="e">
        <f>#REF!</f>
        <v>#REF!</v>
      </c>
      <c r="C142" s="161" t="e">
        <f>#REF!</f>
        <v>#REF!</v>
      </c>
      <c r="D142" s="161" t="e">
        <f>#REF!</f>
        <v>#REF!</v>
      </c>
      <c r="E142" s="161" t="e">
        <f>#REF!</f>
        <v>#REF!</v>
      </c>
      <c r="F142" s="161" t="e">
        <f>#REF!</f>
        <v>#REF!</v>
      </c>
      <c r="G142" s="161" t="e">
        <f>#REF!</f>
        <v>#REF!</v>
      </c>
      <c r="H142" s="161" t="e">
        <f>#REF!</f>
        <v>#REF!</v>
      </c>
    </row>
    <row r="143" spans="1:8" x14ac:dyDescent="0.3">
      <c r="A143" s="161" t="e">
        <f>#REF!</f>
        <v>#REF!</v>
      </c>
      <c r="B143" s="161" t="e">
        <f>#REF!</f>
        <v>#REF!</v>
      </c>
      <c r="C143" s="161" t="e">
        <f>#REF!</f>
        <v>#REF!</v>
      </c>
      <c r="D143" s="161" t="e">
        <f>#REF!</f>
        <v>#REF!</v>
      </c>
      <c r="E143" s="161" t="e">
        <f>#REF!</f>
        <v>#REF!</v>
      </c>
      <c r="F143" s="161" t="e">
        <f>#REF!</f>
        <v>#REF!</v>
      </c>
      <c r="G143" s="161" t="e">
        <f>#REF!</f>
        <v>#REF!</v>
      </c>
      <c r="H143" s="161" t="e">
        <f>#REF!</f>
        <v>#REF!</v>
      </c>
    </row>
    <row r="144" spans="1:8" x14ac:dyDescent="0.3">
      <c r="A144" s="161" t="e">
        <f>#REF!</f>
        <v>#REF!</v>
      </c>
      <c r="B144" s="161" t="e">
        <f>#REF!</f>
        <v>#REF!</v>
      </c>
      <c r="C144" s="161" t="e">
        <f>#REF!</f>
        <v>#REF!</v>
      </c>
      <c r="D144" s="161" t="e">
        <f>#REF!</f>
        <v>#REF!</v>
      </c>
      <c r="E144" s="161" t="e">
        <f>#REF!</f>
        <v>#REF!</v>
      </c>
      <c r="F144" s="161" t="e">
        <f>#REF!</f>
        <v>#REF!</v>
      </c>
      <c r="G144" s="161" t="e">
        <f>#REF!</f>
        <v>#REF!</v>
      </c>
      <c r="H144" s="161" t="e">
        <f>#REF!</f>
        <v>#REF!</v>
      </c>
    </row>
    <row r="145" spans="1:8" x14ac:dyDescent="0.3">
      <c r="A145" s="161" t="e">
        <f>#REF!</f>
        <v>#REF!</v>
      </c>
      <c r="B145" s="161" t="e">
        <f>#REF!</f>
        <v>#REF!</v>
      </c>
      <c r="C145" s="161" t="e">
        <f>#REF!</f>
        <v>#REF!</v>
      </c>
      <c r="D145" s="161" t="e">
        <f>#REF!</f>
        <v>#REF!</v>
      </c>
      <c r="E145" s="161" t="e">
        <f>#REF!</f>
        <v>#REF!</v>
      </c>
      <c r="F145" s="161" t="e">
        <f>#REF!</f>
        <v>#REF!</v>
      </c>
      <c r="G145" s="161" t="e">
        <f>#REF!</f>
        <v>#REF!</v>
      </c>
      <c r="H145" s="161" t="e">
        <f>#REF!</f>
        <v>#REF!</v>
      </c>
    </row>
    <row r="146" spans="1:8" x14ac:dyDescent="0.3">
      <c r="A146" s="161" t="e">
        <f>#REF!</f>
        <v>#REF!</v>
      </c>
      <c r="B146" s="161" t="e">
        <f>#REF!</f>
        <v>#REF!</v>
      </c>
      <c r="C146" s="161" t="e">
        <f>#REF!</f>
        <v>#REF!</v>
      </c>
      <c r="D146" s="161" t="e">
        <f>#REF!</f>
        <v>#REF!</v>
      </c>
      <c r="E146" s="161" t="e">
        <f>#REF!</f>
        <v>#REF!</v>
      </c>
      <c r="F146" s="161" t="e">
        <f>#REF!</f>
        <v>#REF!</v>
      </c>
      <c r="G146" s="161" t="e">
        <f>#REF!</f>
        <v>#REF!</v>
      </c>
      <c r="H146" s="161" t="e">
        <f>#REF!</f>
        <v>#REF!</v>
      </c>
    </row>
    <row r="147" spans="1:8" x14ac:dyDescent="0.3">
      <c r="A147" s="161" t="e">
        <f>#REF!</f>
        <v>#REF!</v>
      </c>
      <c r="B147" s="161" t="e">
        <f>#REF!</f>
        <v>#REF!</v>
      </c>
      <c r="C147" s="161" t="e">
        <f>#REF!</f>
        <v>#REF!</v>
      </c>
      <c r="D147" s="161" t="e">
        <f>#REF!</f>
        <v>#REF!</v>
      </c>
      <c r="E147" s="161" t="e">
        <f>#REF!</f>
        <v>#REF!</v>
      </c>
      <c r="F147" s="161" t="e">
        <f>#REF!</f>
        <v>#REF!</v>
      </c>
      <c r="G147" s="161" t="e">
        <f>#REF!</f>
        <v>#REF!</v>
      </c>
      <c r="H147" s="161" t="e">
        <f>#REF!</f>
        <v>#REF!</v>
      </c>
    </row>
    <row r="148" spans="1:8" x14ac:dyDescent="0.3">
      <c r="A148" s="161" t="e">
        <f>#REF!</f>
        <v>#REF!</v>
      </c>
      <c r="B148" s="161" t="e">
        <f>#REF!</f>
        <v>#REF!</v>
      </c>
      <c r="C148" s="161" t="e">
        <f>#REF!</f>
        <v>#REF!</v>
      </c>
      <c r="D148" s="161" t="e">
        <f>#REF!</f>
        <v>#REF!</v>
      </c>
      <c r="E148" s="161" t="e">
        <f>#REF!</f>
        <v>#REF!</v>
      </c>
      <c r="F148" s="161" t="e">
        <f>#REF!</f>
        <v>#REF!</v>
      </c>
      <c r="G148" s="161" t="e">
        <f>#REF!</f>
        <v>#REF!</v>
      </c>
      <c r="H148" s="161" t="e">
        <f>#REF!</f>
        <v>#REF!</v>
      </c>
    </row>
    <row r="149" spans="1:8" x14ac:dyDescent="0.3">
      <c r="A149" s="161" t="e">
        <f>#REF!</f>
        <v>#REF!</v>
      </c>
      <c r="B149" s="161" t="e">
        <f>#REF!</f>
        <v>#REF!</v>
      </c>
      <c r="C149" s="161" t="e">
        <f>#REF!</f>
        <v>#REF!</v>
      </c>
      <c r="D149" s="161" t="e">
        <f>#REF!</f>
        <v>#REF!</v>
      </c>
      <c r="E149" s="161" t="e">
        <f>#REF!</f>
        <v>#REF!</v>
      </c>
      <c r="F149" s="161" t="e">
        <f>#REF!</f>
        <v>#REF!</v>
      </c>
      <c r="G149" s="161" t="e">
        <f>#REF!</f>
        <v>#REF!</v>
      </c>
      <c r="H149" s="161" t="e">
        <f>#REF!</f>
        <v>#REF!</v>
      </c>
    </row>
    <row r="150" spans="1:8" x14ac:dyDescent="0.3">
      <c r="A150" s="161" t="e">
        <f>#REF!</f>
        <v>#REF!</v>
      </c>
      <c r="B150" s="161" t="e">
        <f>#REF!</f>
        <v>#REF!</v>
      </c>
      <c r="C150" s="161" t="e">
        <f>#REF!</f>
        <v>#REF!</v>
      </c>
      <c r="D150" s="161" t="e">
        <f>#REF!</f>
        <v>#REF!</v>
      </c>
      <c r="E150" s="161" t="e">
        <f>#REF!</f>
        <v>#REF!</v>
      </c>
      <c r="F150" s="161" t="e">
        <f>#REF!</f>
        <v>#REF!</v>
      </c>
      <c r="G150" s="161" t="e">
        <f>#REF!</f>
        <v>#REF!</v>
      </c>
      <c r="H150" s="161" t="e">
        <f>#REF!</f>
        <v>#REF!</v>
      </c>
    </row>
    <row r="151" spans="1:8" x14ac:dyDescent="0.3">
      <c r="A151" s="161" t="e">
        <f>#REF!</f>
        <v>#REF!</v>
      </c>
      <c r="B151" s="161" t="e">
        <f>#REF!</f>
        <v>#REF!</v>
      </c>
      <c r="C151" s="161" t="e">
        <f>#REF!</f>
        <v>#REF!</v>
      </c>
      <c r="D151" s="161" t="e">
        <f>#REF!</f>
        <v>#REF!</v>
      </c>
      <c r="E151" s="161" t="e">
        <f>#REF!</f>
        <v>#REF!</v>
      </c>
      <c r="F151" s="161" t="e">
        <f>#REF!</f>
        <v>#REF!</v>
      </c>
      <c r="G151" s="161" t="e">
        <f>#REF!</f>
        <v>#REF!</v>
      </c>
      <c r="H151" s="161" t="e">
        <f>#REF!</f>
        <v>#REF!</v>
      </c>
    </row>
    <row r="152" spans="1:8" x14ac:dyDescent="0.3">
      <c r="A152" s="161" t="e">
        <f>#REF!</f>
        <v>#REF!</v>
      </c>
      <c r="B152" s="161" t="e">
        <f>#REF!</f>
        <v>#REF!</v>
      </c>
      <c r="C152" s="161" t="e">
        <f>#REF!</f>
        <v>#REF!</v>
      </c>
      <c r="D152" s="161" t="e">
        <f>#REF!</f>
        <v>#REF!</v>
      </c>
      <c r="E152" s="161" t="e">
        <f>#REF!</f>
        <v>#REF!</v>
      </c>
      <c r="F152" s="161" t="e">
        <f>#REF!</f>
        <v>#REF!</v>
      </c>
      <c r="G152" s="161" t="e">
        <f>#REF!</f>
        <v>#REF!</v>
      </c>
      <c r="H152" s="161" t="e">
        <f>#REF!</f>
        <v>#REF!</v>
      </c>
    </row>
    <row r="153" spans="1:8" x14ac:dyDescent="0.3">
      <c r="A153" s="161" t="e">
        <f>#REF!</f>
        <v>#REF!</v>
      </c>
      <c r="B153" s="161" t="e">
        <f>#REF!</f>
        <v>#REF!</v>
      </c>
      <c r="C153" s="161" t="e">
        <f>#REF!</f>
        <v>#REF!</v>
      </c>
      <c r="D153" s="161" t="e">
        <f>#REF!</f>
        <v>#REF!</v>
      </c>
      <c r="E153" s="161" t="e">
        <f>#REF!</f>
        <v>#REF!</v>
      </c>
      <c r="F153" s="161" t="e">
        <f>#REF!</f>
        <v>#REF!</v>
      </c>
      <c r="G153" s="161" t="e">
        <f>#REF!</f>
        <v>#REF!</v>
      </c>
      <c r="H153" s="161" t="e">
        <f>#REF!</f>
        <v>#REF!</v>
      </c>
    </row>
    <row r="154" spans="1:8" x14ac:dyDescent="0.3">
      <c r="A154" s="161" t="e">
        <f>#REF!</f>
        <v>#REF!</v>
      </c>
      <c r="B154" s="161" t="e">
        <f>#REF!</f>
        <v>#REF!</v>
      </c>
      <c r="C154" s="161" t="e">
        <f>#REF!</f>
        <v>#REF!</v>
      </c>
      <c r="D154" s="161" t="e">
        <f>#REF!</f>
        <v>#REF!</v>
      </c>
      <c r="E154" s="161" t="e">
        <f>#REF!</f>
        <v>#REF!</v>
      </c>
      <c r="F154" s="161" t="e">
        <f>#REF!</f>
        <v>#REF!</v>
      </c>
      <c r="G154" s="161" t="e">
        <f>#REF!</f>
        <v>#REF!</v>
      </c>
      <c r="H154" s="161" t="e">
        <f>#REF!</f>
        <v>#REF!</v>
      </c>
    </row>
    <row r="155" spans="1:8" x14ac:dyDescent="0.3">
      <c r="A155" s="161" t="e">
        <f>#REF!</f>
        <v>#REF!</v>
      </c>
      <c r="B155" s="161" t="e">
        <f>#REF!</f>
        <v>#REF!</v>
      </c>
      <c r="C155" s="161" t="e">
        <f>#REF!</f>
        <v>#REF!</v>
      </c>
      <c r="D155" s="161" t="e">
        <f>#REF!</f>
        <v>#REF!</v>
      </c>
      <c r="E155" s="161" t="e">
        <f>#REF!</f>
        <v>#REF!</v>
      </c>
      <c r="F155" s="161" t="e">
        <f>#REF!</f>
        <v>#REF!</v>
      </c>
      <c r="G155" s="161" t="e">
        <f>#REF!</f>
        <v>#REF!</v>
      </c>
      <c r="H155" s="161" t="e">
        <f>#REF!</f>
        <v>#REF!</v>
      </c>
    </row>
    <row r="156" spans="1:8" x14ac:dyDescent="0.3">
      <c r="A156" s="161" t="e">
        <f>#REF!</f>
        <v>#REF!</v>
      </c>
      <c r="B156" s="161" t="e">
        <f>#REF!</f>
        <v>#REF!</v>
      </c>
      <c r="C156" s="161" t="e">
        <f>#REF!</f>
        <v>#REF!</v>
      </c>
      <c r="D156" s="161" t="e">
        <f>#REF!</f>
        <v>#REF!</v>
      </c>
      <c r="E156" s="161" t="e">
        <f>#REF!</f>
        <v>#REF!</v>
      </c>
      <c r="F156" s="161" t="e">
        <f>#REF!</f>
        <v>#REF!</v>
      </c>
      <c r="G156" s="161" t="e">
        <f>#REF!</f>
        <v>#REF!</v>
      </c>
      <c r="H156" s="161" t="e">
        <f>#REF!</f>
        <v>#REF!</v>
      </c>
    </row>
    <row r="157" spans="1:8" x14ac:dyDescent="0.3">
      <c r="A157" s="161" t="e">
        <f>#REF!</f>
        <v>#REF!</v>
      </c>
      <c r="B157" s="161" t="e">
        <f>#REF!</f>
        <v>#REF!</v>
      </c>
      <c r="C157" s="161" t="e">
        <f>#REF!</f>
        <v>#REF!</v>
      </c>
      <c r="D157" s="161" t="e">
        <f>#REF!</f>
        <v>#REF!</v>
      </c>
      <c r="E157" s="161" t="e">
        <f>#REF!</f>
        <v>#REF!</v>
      </c>
      <c r="F157" s="161" t="e">
        <f>#REF!</f>
        <v>#REF!</v>
      </c>
      <c r="G157" s="161" t="e">
        <f>#REF!</f>
        <v>#REF!</v>
      </c>
      <c r="H157" s="161" t="e">
        <f>#REF!</f>
        <v>#REF!</v>
      </c>
    </row>
    <row r="158" spans="1:8" x14ac:dyDescent="0.3">
      <c r="A158" s="161" t="e">
        <f>#REF!</f>
        <v>#REF!</v>
      </c>
      <c r="B158" s="161" t="e">
        <f>#REF!</f>
        <v>#REF!</v>
      </c>
      <c r="C158" s="161" t="e">
        <f>#REF!</f>
        <v>#REF!</v>
      </c>
      <c r="D158" s="161" t="e">
        <f>#REF!</f>
        <v>#REF!</v>
      </c>
      <c r="E158" s="161" t="e">
        <f>#REF!</f>
        <v>#REF!</v>
      </c>
      <c r="F158" s="161" t="e">
        <f>#REF!</f>
        <v>#REF!</v>
      </c>
      <c r="G158" s="161" t="e">
        <f>#REF!</f>
        <v>#REF!</v>
      </c>
      <c r="H158" s="161" t="e">
        <f>#REF!</f>
        <v>#REF!</v>
      </c>
    </row>
    <row r="159" spans="1:8" x14ac:dyDescent="0.3">
      <c r="A159" s="161" t="e">
        <f>#REF!</f>
        <v>#REF!</v>
      </c>
      <c r="B159" s="161" t="e">
        <f>#REF!</f>
        <v>#REF!</v>
      </c>
      <c r="C159" s="161" t="e">
        <f>#REF!</f>
        <v>#REF!</v>
      </c>
      <c r="D159" s="161" t="e">
        <f>#REF!</f>
        <v>#REF!</v>
      </c>
      <c r="E159" s="161" t="e">
        <f>#REF!</f>
        <v>#REF!</v>
      </c>
      <c r="F159" s="161" t="e">
        <f>#REF!</f>
        <v>#REF!</v>
      </c>
      <c r="G159" s="161" t="e">
        <f>#REF!</f>
        <v>#REF!</v>
      </c>
      <c r="H159" s="161" t="e">
        <f>#REF!</f>
        <v>#REF!</v>
      </c>
    </row>
    <row r="160" spans="1:8" x14ac:dyDescent="0.3">
      <c r="A160" s="161" t="e">
        <f>#REF!</f>
        <v>#REF!</v>
      </c>
      <c r="B160" s="161" t="e">
        <f>#REF!</f>
        <v>#REF!</v>
      </c>
      <c r="C160" s="161" t="e">
        <f>#REF!</f>
        <v>#REF!</v>
      </c>
      <c r="D160" s="161" t="e">
        <f>#REF!</f>
        <v>#REF!</v>
      </c>
      <c r="E160" s="161" t="e">
        <f>#REF!</f>
        <v>#REF!</v>
      </c>
      <c r="F160" s="161" t="e">
        <f>#REF!</f>
        <v>#REF!</v>
      </c>
      <c r="G160" s="161" t="e">
        <f>#REF!</f>
        <v>#REF!</v>
      </c>
      <c r="H160" s="161" t="e">
        <f>#REF!</f>
        <v>#REF!</v>
      </c>
    </row>
    <row r="161" spans="1:8" x14ac:dyDescent="0.3">
      <c r="A161" s="161" t="e">
        <f>#REF!</f>
        <v>#REF!</v>
      </c>
      <c r="B161" s="161" t="e">
        <f>#REF!</f>
        <v>#REF!</v>
      </c>
      <c r="C161" s="161" t="e">
        <f>#REF!</f>
        <v>#REF!</v>
      </c>
      <c r="D161" s="161" t="e">
        <f>#REF!</f>
        <v>#REF!</v>
      </c>
      <c r="E161" s="161" t="e">
        <f>#REF!</f>
        <v>#REF!</v>
      </c>
      <c r="F161" s="161" t="e">
        <f>#REF!</f>
        <v>#REF!</v>
      </c>
      <c r="G161" s="161" t="e">
        <f>#REF!</f>
        <v>#REF!</v>
      </c>
      <c r="H161" s="161" t="e">
        <f>#REF!</f>
        <v>#REF!</v>
      </c>
    </row>
    <row r="162" spans="1:8" x14ac:dyDescent="0.3">
      <c r="A162" s="161" t="e">
        <f>#REF!</f>
        <v>#REF!</v>
      </c>
      <c r="B162" s="161" t="e">
        <f>#REF!</f>
        <v>#REF!</v>
      </c>
      <c r="C162" s="161" t="e">
        <f>#REF!</f>
        <v>#REF!</v>
      </c>
      <c r="D162" s="161" t="e">
        <f>#REF!</f>
        <v>#REF!</v>
      </c>
      <c r="E162" s="161" t="e">
        <f>#REF!</f>
        <v>#REF!</v>
      </c>
      <c r="F162" s="161" t="e">
        <f>#REF!</f>
        <v>#REF!</v>
      </c>
      <c r="G162" s="161" t="e">
        <f>#REF!</f>
        <v>#REF!</v>
      </c>
      <c r="H162" s="161" t="e">
        <f>#REF!</f>
        <v>#REF!</v>
      </c>
    </row>
    <row r="163" spans="1:8" x14ac:dyDescent="0.3">
      <c r="A163" s="161" t="e">
        <f>#REF!</f>
        <v>#REF!</v>
      </c>
      <c r="B163" s="161" t="e">
        <f>#REF!</f>
        <v>#REF!</v>
      </c>
      <c r="C163" s="161" t="e">
        <f>#REF!</f>
        <v>#REF!</v>
      </c>
      <c r="D163" s="161" t="e">
        <f>#REF!</f>
        <v>#REF!</v>
      </c>
      <c r="E163" s="161" t="e">
        <f>#REF!</f>
        <v>#REF!</v>
      </c>
      <c r="F163" s="161" t="e">
        <f>#REF!</f>
        <v>#REF!</v>
      </c>
      <c r="G163" s="161" t="e">
        <f>#REF!</f>
        <v>#REF!</v>
      </c>
      <c r="H163" s="161" t="e">
        <f>#REF!</f>
        <v>#REF!</v>
      </c>
    </row>
    <row r="164" spans="1:8" x14ac:dyDescent="0.3">
      <c r="A164" s="161" t="e">
        <f>#REF!</f>
        <v>#REF!</v>
      </c>
      <c r="B164" s="161" t="e">
        <f>#REF!</f>
        <v>#REF!</v>
      </c>
      <c r="C164" s="161" t="e">
        <f>#REF!</f>
        <v>#REF!</v>
      </c>
      <c r="D164" s="161" t="e">
        <f>#REF!</f>
        <v>#REF!</v>
      </c>
      <c r="E164" s="161" t="e">
        <f>#REF!</f>
        <v>#REF!</v>
      </c>
      <c r="F164" s="161" t="e">
        <f>#REF!</f>
        <v>#REF!</v>
      </c>
      <c r="G164" s="161" t="e">
        <f>#REF!</f>
        <v>#REF!</v>
      </c>
      <c r="H164" s="161" t="e">
        <f>#REF!</f>
        <v>#REF!</v>
      </c>
    </row>
    <row r="165" spans="1:8" x14ac:dyDescent="0.3">
      <c r="A165" s="161" t="e">
        <f>#REF!</f>
        <v>#REF!</v>
      </c>
      <c r="B165" s="161" t="e">
        <f>#REF!</f>
        <v>#REF!</v>
      </c>
      <c r="C165" s="161" t="e">
        <f>#REF!</f>
        <v>#REF!</v>
      </c>
      <c r="D165" s="161" t="e">
        <f>#REF!</f>
        <v>#REF!</v>
      </c>
      <c r="E165" s="161" t="e">
        <f>#REF!</f>
        <v>#REF!</v>
      </c>
      <c r="F165" s="161" t="e">
        <f>#REF!</f>
        <v>#REF!</v>
      </c>
      <c r="G165" s="161" t="e">
        <f>#REF!</f>
        <v>#REF!</v>
      </c>
      <c r="H165" s="161" t="e">
        <f>#REF!</f>
        <v>#REF!</v>
      </c>
    </row>
    <row r="166" spans="1:8" x14ac:dyDescent="0.3">
      <c r="A166" s="161" t="e">
        <f>#REF!</f>
        <v>#REF!</v>
      </c>
      <c r="B166" s="161" t="e">
        <f>#REF!</f>
        <v>#REF!</v>
      </c>
      <c r="C166" s="161" t="e">
        <f>#REF!</f>
        <v>#REF!</v>
      </c>
      <c r="D166" s="161" t="e">
        <f>#REF!</f>
        <v>#REF!</v>
      </c>
      <c r="E166" s="161" t="e">
        <f>#REF!</f>
        <v>#REF!</v>
      </c>
      <c r="F166" s="161" t="e">
        <f>#REF!</f>
        <v>#REF!</v>
      </c>
      <c r="G166" s="161" t="e">
        <f>#REF!</f>
        <v>#REF!</v>
      </c>
      <c r="H166" s="161" t="e">
        <f>#REF!</f>
        <v>#REF!</v>
      </c>
    </row>
    <row r="167" spans="1:8" x14ac:dyDescent="0.3">
      <c r="A167" s="161" t="e">
        <f>#REF!</f>
        <v>#REF!</v>
      </c>
      <c r="B167" s="161" t="e">
        <f>#REF!</f>
        <v>#REF!</v>
      </c>
      <c r="C167" s="161" t="e">
        <f>#REF!</f>
        <v>#REF!</v>
      </c>
      <c r="D167" s="161" t="e">
        <f>#REF!</f>
        <v>#REF!</v>
      </c>
      <c r="E167" s="161" t="e">
        <f>#REF!</f>
        <v>#REF!</v>
      </c>
      <c r="F167" s="161" t="e">
        <f>#REF!</f>
        <v>#REF!</v>
      </c>
      <c r="G167" s="161" t="e">
        <f>#REF!</f>
        <v>#REF!</v>
      </c>
      <c r="H167" s="161" t="e">
        <f>#REF!</f>
        <v>#REF!</v>
      </c>
    </row>
    <row r="168" spans="1:8" x14ac:dyDescent="0.3">
      <c r="A168" s="161" t="e">
        <f>#REF!</f>
        <v>#REF!</v>
      </c>
      <c r="B168" s="161" t="e">
        <f>#REF!</f>
        <v>#REF!</v>
      </c>
      <c r="C168" s="161" t="e">
        <f>#REF!</f>
        <v>#REF!</v>
      </c>
      <c r="D168" s="161" t="e">
        <f>#REF!</f>
        <v>#REF!</v>
      </c>
      <c r="E168" s="161" t="e">
        <f>#REF!</f>
        <v>#REF!</v>
      </c>
      <c r="F168" s="161" t="e">
        <f>#REF!</f>
        <v>#REF!</v>
      </c>
      <c r="G168" s="161" t="e">
        <f>#REF!</f>
        <v>#REF!</v>
      </c>
      <c r="H168" s="161" t="e">
        <f>#REF!</f>
        <v>#REF!</v>
      </c>
    </row>
    <row r="169" spans="1:8" x14ac:dyDescent="0.3">
      <c r="A169" s="161" t="e">
        <f>#REF!</f>
        <v>#REF!</v>
      </c>
      <c r="B169" s="161" t="e">
        <f>#REF!</f>
        <v>#REF!</v>
      </c>
      <c r="C169" s="161" t="e">
        <f>#REF!</f>
        <v>#REF!</v>
      </c>
      <c r="D169" s="161" t="e">
        <f>#REF!</f>
        <v>#REF!</v>
      </c>
      <c r="E169" s="161" t="e">
        <f>#REF!</f>
        <v>#REF!</v>
      </c>
      <c r="F169" s="161" t="e">
        <f>#REF!</f>
        <v>#REF!</v>
      </c>
      <c r="G169" s="161" t="e">
        <f>#REF!</f>
        <v>#REF!</v>
      </c>
      <c r="H169" s="161" t="e">
        <f>#REF!</f>
        <v>#REF!</v>
      </c>
    </row>
    <row r="170" spans="1:8" x14ac:dyDescent="0.3">
      <c r="A170" s="161" t="e">
        <f>#REF!</f>
        <v>#REF!</v>
      </c>
      <c r="B170" s="161" t="e">
        <f>#REF!</f>
        <v>#REF!</v>
      </c>
      <c r="C170" s="161" t="e">
        <f>#REF!</f>
        <v>#REF!</v>
      </c>
      <c r="D170" s="161" t="e">
        <f>#REF!</f>
        <v>#REF!</v>
      </c>
      <c r="E170" s="161" t="e">
        <f>#REF!</f>
        <v>#REF!</v>
      </c>
      <c r="F170" s="161" t="e">
        <f>#REF!</f>
        <v>#REF!</v>
      </c>
      <c r="G170" s="161" t="e">
        <f>#REF!</f>
        <v>#REF!</v>
      </c>
      <c r="H170" s="161" t="e">
        <f>#REF!</f>
        <v>#REF!</v>
      </c>
    </row>
    <row r="171" spans="1:8" x14ac:dyDescent="0.3">
      <c r="A171" s="161" t="e">
        <f>#REF!</f>
        <v>#REF!</v>
      </c>
      <c r="B171" s="161" t="e">
        <f>#REF!</f>
        <v>#REF!</v>
      </c>
      <c r="C171" s="161" t="e">
        <f>#REF!</f>
        <v>#REF!</v>
      </c>
      <c r="D171" s="161" t="e">
        <f>#REF!</f>
        <v>#REF!</v>
      </c>
      <c r="E171" s="161" t="e">
        <f>#REF!</f>
        <v>#REF!</v>
      </c>
      <c r="F171" s="161" t="e">
        <f>#REF!</f>
        <v>#REF!</v>
      </c>
      <c r="G171" s="161" t="e">
        <f>#REF!</f>
        <v>#REF!</v>
      </c>
      <c r="H171" s="161" t="e">
        <f>#REF!</f>
        <v>#REF!</v>
      </c>
    </row>
    <row r="172" spans="1:8" x14ac:dyDescent="0.3">
      <c r="A172" s="161" t="e">
        <f>#REF!</f>
        <v>#REF!</v>
      </c>
      <c r="B172" s="161" t="e">
        <f>#REF!</f>
        <v>#REF!</v>
      </c>
      <c r="C172" s="161" t="e">
        <f>#REF!</f>
        <v>#REF!</v>
      </c>
      <c r="D172" s="161" t="e">
        <f>#REF!</f>
        <v>#REF!</v>
      </c>
      <c r="E172" s="161" t="e">
        <f>#REF!</f>
        <v>#REF!</v>
      </c>
      <c r="F172" s="161" t="e">
        <f>#REF!</f>
        <v>#REF!</v>
      </c>
      <c r="G172" s="161" t="e">
        <f>#REF!</f>
        <v>#REF!</v>
      </c>
      <c r="H172" s="161" t="e">
        <f>#REF!</f>
        <v>#REF!</v>
      </c>
    </row>
    <row r="173" spans="1:8" x14ac:dyDescent="0.3">
      <c r="A173" s="161" t="e">
        <f>#REF!</f>
        <v>#REF!</v>
      </c>
      <c r="B173" s="161" t="e">
        <f>#REF!</f>
        <v>#REF!</v>
      </c>
      <c r="C173" s="161" t="e">
        <f>#REF!</f>
        <v>#REF!</v>
      </c>
      <c r="D173" s="161" t="e">
        <f>#REF!</f>
        <v>#REF!</v>
      </c>
      <c r="E173" s="161" t="e">
        <f>#REF!</f>
        <v>#REF!</v>
      </c>
      <c r="F173" s="161" t="e">
        <f>#REF!</f>
        <v>#REF!</v>
      </c>
      <c r="G173" s="161" t="e">
        <f>#REF!</f>
        <v>#REF!</v>
      </c>
      <c r="H173" s="161" t="e">
        <f>#REF!</f>
        <v>#REF!</v>
      </c>
    </row>
    <row r="174" spans="1:8" x14ac:dyDescent="0.3">
      <c r="A174" s="161" t="e">
        <f>#REF!</f>
        <v>#REF!</v>
      </c>
      <c r="B174" s="161" t="e">
        <f>#REF!</f>
        <v>#REF!</v>
      </c>
      <c r="C174" s="161" t="e">
        <f>#REF!</f>
        <v>#REF!</v>
      </c>
      <c r="D174" s="161" t="e">
        <f>#REF!</f>
        <v>#REF!</v>
      </c>
      <c r="E174" s="161" t="e">
        <f>#REF!</f>
        <v>#REF!</v>
      </c>
      <c r="F174" s="161" t="e">
        <f>#REF!</f>
        <v>#REF!</v>
      </c>
      <c r="G174" s="161" t="e">
        <f>#REF!</f>
        <v>#REF!</v>
      </c>
      <c r="H174" s="161" t="e">
        <f>#REF!</f>
        <v>#REF!</v>
      </c>
    </row>
    <row r="175" spans="1:8" x14ac:dyDescent="0.3">
      <c r="A175" s="161" t="e">
        <f>#REF!</f>
        <v>#REF!</v>
      </c>
      <c r="B175" s="161" t="e">
        <f>#REF!</f>
        <v>#REF!</v>
      </c>
      <c r="C175" s="161" t="e">
        <f>#REF!</f>
        <v>#REF!</v>
      </c>
      <c r="D175" s="161" t="e">
        <f>#REF!</f>
        <v>#REF!</v>
      </c>
      <c r="E175" s="161" t="e">
        <f>#REF!</f>
        <v>#REF!</v>
      </c>
      <c r="F175" s="161" t="e">
        <f>#REF!</f>
        <v>#REF!</v>
      </c>
      <c r="G175" s="161" t="e">
        <f>#REF!</f>
        <v>#REF!</v>
      </c>
      <c r="H175" s="161" t="e">
        <f>#REF!</f>
        <v>#REF!</v>
      </c>
    </row>
    <row r="176" spans="1:8" x14ac:dyDescent="0.3">
      <c r="A176" s="161" t="e">
        <f>#REF!</f>
        <v>#REF!</v>
      </c>
      <c r="B176" s="161" t="e">
        <f>#REF!</f>
        <v>#REF!</v>
      </c>
      <c r="C176" s="161" t="e">
        <f>#REF!</f>
        <v>#REF!</v>
      </c>
      <c r="D176" s="161" t="e">
        <f>#REF!</f>
        <v>#REF!</v>
      </c>
      <c r="E176" s="161" t="e">
        <f>#REF!</f>
        <v>#REF!</v>
      </c>
      <c r="F176" s="161" t="e">
        <f>#REF!</f>
        <v>#REF!</v>
      </c>
      <c r="G176" s="161" t="e">
        <f>#REF!</f>
        <v>#REF!</v>
      </c>
      <c r="H176" s="161" t="e">
        <f>#REF!</f>
        <v>#REF!</v>
      </c>
    </row>
    <row r="177" spans="1:8" x14ac:dyDescent="0.3">
      <c r="A177" s="161" t="e">
        <f>#REF!</f>
        <v>#REF!</v>
      </c>
      <c r="B177" s="161" t="e">
        <f>#REF!</f>
        <v>#REF!</v>
      </c>
      <c r="C177" s="161" t="e">
        <f>#REF!</f>
        <v>#REF!</v>
      </c>
      <c r="D177" s="161" t="e">
        <f>#REF!</f>
        <v>#REF!</v>
      </c>
      <c r="E177" s="161" t="e">
        <f>#REF!</f>
        <v>#REF!</v>
      </c>
      <c r="F177" s="161" t="e">
        <f>#REF!</f>
        <v>#REF!</v>
      </c>
      <c r="G177" s="161" t="e">
        <f>#REF!</f>
        <v>#REF!</v>
      </c>
      <c r="H177" s="161" t="e">
        <f>#REF!</f>
        <v>#REF!</v>
      </c>
    </row>
    <row r="178" spans="1:8" x14ac:dyDescent="0.3">
      <c r="A178" s="161" t="e">
        <f>#REF!</f>
        <v>#REF!</v>
      </c>
      <c r="B178" s="161" t="e">
        <f>#REF!</f>
        <v>#REF!</v>
      </c>
      <c r="C178" s="161" t="e">
        <f>#REF!</f>
        <v>#REF!</v>
      </c>
      <c r="D178" s="161" t="e">
        <f>#REF!</f>
        <v>#REF!</v>
      </c>
      <c r="E178" s="161" t="e">
        <f>#REF!</f>
        <v>#REF!</v>
      </c>
      <c r="F178" s="161" t="e">
        <f>#REF!</f>
        <v>#REF!</v>
      </c>
      <c r="G178" s="161" t="e">
        <f>#REF!</f>
        <v>#REF!</v>
      </c>
      <c r="H178" s="161" t="e">
        <f>#REF!</f>
        <v>#REF!</v>
      </c>
    </row>
    <row r="179" spans="1:8" x14ac:dyDescent="0.3">
      <c r="A179" s="161" t="e">
        <f>#REF!</f>
        <v>#REF!</v>
      </c>
      <c r="B179" s="161" t="e">
        <f>#REF!</f>
        <v>#REF!</v>
      </c>
      <c r="C179" s="161" t="e">
        <f>#REF!</f>
        <v>#REF!</v>
      </c>
      <c r="D179" s="161" t="e">
        <f>#REF!</f>
        <v>#REF!</v>
      </c>
      <c r="E179" s="161" t="e">
        <f>#REF!</f>
        <v>#REF!</v>
      </c>
      <c r="F179" s="161" t="e">
        <f>#REF!</f>
        <v>#REF!</v>
      </c>
      <c r="G179" s="161" t="e">
        <f>#REF!</f>
        <v>#REF!</v>
      </c>
      <c r="H179" s="161" t="e">
        <f>#REF!</f>
        <v>#REF!</v>
      </c>
    </row>
    <row r="180" spans="1:8" x14ac:dyDescent="0.3">
      <c r="A180" s="161" t="e">
        <f>#REF!</f>
        <v>#REF!</v>
      </c>
      <c r="B180" s="161" t="e">
        <f>#REF!</f>
        <v>#REF!</v>
      </c>
      <c r="C180" s="161" t="e">
        <f>#REF!</f>
        <v>#REF!</v>
      </c>
      <c r="D180" s="161" t="e">
        <f>#REF!</f>
        <v>#REF!</v>
      </c>
      <c r="E180" s="161" t="e">
        <f>#REF!</f>
        <v>#REF!</v>
      </c>
      <c r="F180" s="161" t="e">
        <f>#REF!</f>
        <v>#REF!</v>
      </c>
      <c r="G180" s="161" t="e">
        <f>#REF!</f>
        <v>#REF!</v>
      </c>
      <c r="H180" s="161" t="e">
        <f>#REF!</f>
        <v>#REF!</v>
      </c>
    </row>
    <row r="181" spans="1:8" x14ac:dyDescent="0.3">
      <c r="A181" s="161" t="e">
        <f>#REF!</f>
        <v>#REF!</v>
      </c>
      <c r="B181" s="161" t="e">
        <f>#REF!</f>
        <v>#REF!</v>
      </c>
      <c r="C181" s="161" t="e">
        <f>#REF!</f>
        <v>#REF!</v>
      </c>
      <c r="D181" s="161" t="e">
        <f>#REF!</f>
        <v>#REF!</v>
      </c>
      <c r="E181" s="161" t="e">
        <f>#REF!</f>
        <v>#REF!</v>
      </c>
      <c r="F181" s="161" t="e">
        <f>#REF!</f>
        <v>#REF!</v>
      </c>
      <c r="G181" s="161" t="e">
        <f>#REF!</f>
        <v>#REF!</v>
      </c>
      <c r="H181" s="161" t="e">
        <f>#REF!</f>
        <v>#REF!</v>
      </c>
    </row>
    <row r="182" spans="1:8" x14ac:dyDescent="0.3">
      <c r="A182" s="161" t="e">
        <f>#REF!</f>
        <v>#REF!</v>
      </c>
      <c r="B182" s="161" t="e">
        <f>#REF!</f>
        <v>#REF!</v>
      </c>
      <c r="C182" s="161" t="e">
        <f>#REF!</f>
        <v>#REF!</v>
      </c>
      <c r="D182" s="161" t="e">
        <f>#REF!</f>
        <v>#REF!</v>
      </c>
      <c r="E182" s="161" t="e">
        <f>#REF!</f>
        <v>#REF!</v>
      </c>
      <c r="F182" s="161" t="e">
        <f>#REF!</f>
        <v>#REF!</v>
      </c>
      <c r="G182" s="161" t="e">
        <f>#REF!</f>
        <v>#REF!</v>
      </c>
      <c r="H182" s="161" t="e">
        <f>#REF!</f>
        <v>#REF!</v>
      </c>
    </row>
    <row r="183" spans="1:8" x14ac:dyDescent="0.3">
      <c r="A183" s="161" t="e">
        <f>#REF!</f>
        <v>#REF!</v>
      </c>
      <c r="B183" s="161" t="e">
        <f>#REF!</f>
        <v>#REF!</v>
      </c>
      <c r="C183" s="161" t="e">
        <f>#REF!</f>
        <v>#REF!</v>
      </c>
      <c r="D183" s="161" t="e">
        <f>#REF!</f>
        <v>#REF!</v>
      </c>
      <c r="E183" s="161" t="e">
        <f>#REF!</f>
        <v>#REF!</v>
      </c>
      <c r="F183" s="161" t="e">
        <f>#REF!</f>
        <v>#REF!</v>
      </c>
      <c r="G183" s="161" t="e">
        <f>#REF!</f>
        <v>#REF!</v>
      </c>
      <c r="H183" s="161" t="e">
        <f>#REF!</f>
        <v>#REF!</v>
      </c>
    </row>
    <row r="184" spans="1:8" x14ac:dyDescent="0.3">
      <c r="A184" s="161" t="e">
        <f>#REF!</f>
        <v>#REF!</v>
      </c>
      <c r="B184" s="161" t="e">
        <f>#REF!</f>
        <v>#REF!</v>
      </c>
      <c r="C184" s="161" t="e">
        <f>#REF!</f>
        <v>#REF!</v>
      </c>
      <c r="D184" s="161" t="e">
        <f>#REF!</f>
        <v>#REF!</v>
      </c>
      <c r="E184" s="161" t="e">
        <f>#REF!</f>
        <v>#REF!</v>
      </c>
      <c r="F184" s="161" t="e">
        <f>#REF!</f>
        <v>#REF!</v>
      </c>
      <c r="G184" s="161" t="e">
        <f>#REF!</f>
        <v>#REF!</v>
      </c>
      <c r="H184" s="161" t="e">
        <f>#REF!</f>
        <v>#REF!</v>
      </c>
    </row>
    <row r="185" spans="1:8" x14ac:dyDescent="0.3">
      <c r="A185" s="161" t="e">
        <f>#REF!</f>
        <v>#REF!</v>
      </c>
      <c r="B185" s="161" t="e">
        <f>#REF!</f>
        <v>#REF!</v>
      </c>
      <c r="C185" s="161" t="e">
        <f>#REF!</f>
        <v>#REF!</v>
      </c>
      <c r="D185" s="161" t="e">
        <f>#REF!</f>
        <v>#REF!</v>
      </c>
      <c r="E185" s="161" t="e">
        <f>#REF!</f>
        <v>#REF!</v>
      </c>
      <c r="F185" s="161" t="e">
        <f>#REF!</f>
        <v>#REF!</v>
      </c>
      <c r="G185" s="161" t="e">
        <f>#REF!</f>
        <v>#REF!</v>
      </c>
      <c r="H185" s="161" t="e">
        <f>#REF!</f>
        <v>#REF!</v>
      </c>
    </row>
    <row r="186" spans="1:8" x14ac:dyDescent="0.3">
      <c r="A186" s="161" t="e">
        <f>#REF!</f>
        <v>#REF!</v>
      </c>
      <c r="B186" s="161" t="e">
        <f>#REF!</f>
        <v>#REF!</v>
      </c>
      <c r="C186" s="161" t="e">
        <f>#REF!</f>
        <v>#REF!</v>
      </c>
      <c r="D186" s="161" t="e">
        <f>#REF!</f>
        <v>#REF!</v>
      </c>
      <c r="E186" s="161" t="e">
        <f>#REF!</f>
        <v>#REF!</v>
      </c>
      <c r="F186" s="161" t="e">
        <f>#REF!</f>
        <v>#REF!</v>
      </c>
      <c r="G186" s="161" t="e">
        <f>#REF!</f>
        <v>#REF!</v>
      </c>
      <c r="H186" s="161" t="e">
        <f>#REF!</f>
        <v>#REF!</v>
      </c>
    </row>
    <row r="187" spans="1:8" x14ac:dyDescent="0.3">
      <c r="A187" s="161" t="e">
        <f>#REF!</f>
        <v>#REF!</v>
      </c>
      <c r="B187" s="161" t="e">
        <f>#REF!</f>
        <v>#REF!</v>
      </c>
      <c r="C187" s="161" t="e">
        <f>#REF!</f>
        <v>#REF!</v>
      </c>
      <c r="D187" s="161" t="e">
        <f>#REF!</f>
        <v>#REF!</v>
      </c>
      <c r="E187" s="161" t="e">
        <f>#REF!</f>
        <v>#REF!</v>
      </c>
      <c r="F187" s="161" t="e">
        <f>#REF!</f>
        <v>#REF!</v>
      </c>
      <c r="G187" s="161" t="e">
        <f>#REF!</f>
        <v>#REF!</v>
      </c>
      <c r="H187" s="161" t="e">
        <f>#REF!</f>
        <v>#REF!</v>
      </c>
    </row>
    <row r="188" spans="1:8" x14ac:dyDescent="0.3">
      <c r="A188" s="161" t="e">
        <f>#REF!</f>
        <v>#REF!</v>
      </c>
      <c r="B188" s="161" t="e">
        <f>#REF!</f>
        <v>#REF!</v>
      </c>
      <c r="C188" s="161" t="e">
        <f>#REF!</f>
        <v>#REF!</v>
      </c>
      <c r="D188" s="161" t="e">
        <f>#REF!</f>
        <v>#REF!</v>
      </c>
      <c r="E188" s="161" t="e">
        <f>#REF!</f>
        <v>#REF!</v>
      </c>
      <c r="F188" s="161" t="e">
        <f>#REF!</f>
        <v>#REF!</v>
      </c>
      <c r="G188" s="161" t="e">
        <f>#REF!</f>
        <v>#REF!</v>
      </c>
      <c r="H188" s="161" t="e">
        <f>#REF!</f>
        <v>#REF!</v>
      </c>
    </row>
    <row r="189" spans="1:8" x14ac:dyDescent="0.3">
      <c r="A189" s="161" t="e">
        <f>#REF!</f>
        <v>#REF!</v>
      </c>
      <c r="B189" s="161" t="e">
        <f>#REF!</f>
        <v>#REF!</v>
      </c>
      <c r="C189" s="161" t="e">
        <f>#REF!</f>
        <v>#REF!</v>
      </c>
      <c r="D189" s="161" t="e">
        <f>#REF!</f>
        <v>#REF!</v>
      </c>
      <c r="E189" s="161" t="e">
        <f>#REF!</f>
        <v>#REF!</v>
      </c>
      <c r="F189" s="161" t="e">
        <f>#REF!</f>
        <v>#REF!</v>
      </c>
      <c r="G189" s="161" t="e">
        <f>#REF!</f>
        <v>#REF!</v>
      </c>
      <c r="H189" s="161" t="e">
        <f>#REF!</f>
        <v>#REF!</v>
      </c>
    </row>
    <row r="190" spans="1:8" x14ac:dyDescent="0.3">
      <c r="A190" s="161" t="e">
        <f>#REF!</f>
        <v>#REF!</v>
      </c>
      <c r="B190" s="161" t="e">
        <f>#REF!</f>
        <v>#REF!</v>
      </c>
      <c r="C190" s="161" t="e">
        <f>#REF!</f>
        <v>#REF!</v>
      </c>
      <c r="D190" s="161" t="e">
        <f>#REF!</f>
        <v>#REF!</v>
      </c>
      <c r="E190" s="161" t="e">
        <f>#REF!</f>
        <v>#REF!</v>
      </c>
      <c r="F190" s="161" t="e">
        <f>#REF!</f>
        <v>#REF!</v>
      </c>
      <c r="G190" s="161" t="e">
        <f>#REF!</f>
        <v>#REF!</v>
      </c>
      <c r="H190" s="161" t="e">
        <f>#REF!</f>
        <v>#REF!</v>
      </c>
    </row>
    <row r="191" spans="1:8" x14ac:dyDescent="0.3">
      <c r="A191" s="161" t="e">
        <f>#REF!</f>
        <v>#REF!</v>
      </c>
      <c r="B191" s="161" t="e">
        <f>#REF!</f>
        <v>#REF!</v>
      </c>
      <c r="C191" s="161" t="e">
        <f>#REF!</f>
        <v>#REF!</v>
      </c>
      <c r="D191" s="161" t="e">
        <f>#REF!</f>
        <v>#REF!</v>
      </c>
      <c r="E191" s="161" t="e">
        <f>#REF!</f>
        <v>#REF!</v>
      </c>
      <c r="F191" s="161" t="e">
        <f>#REF!</f>
        <v>#REF!</v>
      </c>
      <c r="G191" s="161" t="e">
        <f>#REF!</f>
        <v>#REF!</v>
      </c>
      <c r="H191" s="161" t="e">
        <f>#REF!</f>
        <v>#REF!</v>
      </c>
    </row>
    <row r="192" spans="1:8" x14ac:dyDescent="0.3">
      <c r="A192" s="161" t="e">
        <f>#REF!</f>
        <v>#REF!</v>
      </c>
      <c r="B192" s="161" t="e">
        <f>#REF!</f>
        <v>#REF!</v>
      </c>
      <c r="C192" s="161" t="e">
        <f>#REF!</f>
        <v>#REF!</v>
      </c>
      <c r="D192" s="161" t="e">
        <f>#REF!</f>
        <v>#REF!</v>
      </c>
      <c r="E192" s="161" t="e">
        <f>#REF!</f>
        <v>#REF!</v>
      </c>
      <c r="F192" s="161" t="e">
        <f>#REF!</f>
        <v>#REF!</v>
      </c>
      <c r="G192" s="161" t="e">
        <f>#REF!</f>
        <v>#REF!</v>
      </c>
      <c r="H192" s="161" t="e">
        <f>#REF!</f>
        <v>#REF!</v>
      </c>
    </row>
    <row r="193" spans="1:8" x14ac:dyDescent="0.3">
      <c r="A193" s="161" t="e">
        <f>#REF!</f>
        <v>#REF!</v>
      </c>
      <c r="B193" s="161" t="e">
        <f>#REF!</f>
        <v>#REF!</v>
      </c>
      <c r="C193" s="161" t="e">
        <f>#REF!</f>
        <v>#REF!</v>
      </c>
      <c r="D193" s="161" t="e">
        <f>#REF!</f>
        <v>#REF!</v>
      </c>
      <c r="E193" s="161" t="e">
        <f>#REF!</f>
        <v>#REF!</v>
      </c>
      <c r="F193" s="161" t="e">
        <f>#REF!</f>
        <v>#REF!</v>
      </c>
      <c r="G193" s="161" t="e">
        <f>#REF!</f>
        <v>#REF!</v>
      </c>
      <c r="H193" s="161" t="e">
        <f>#REF!</f>
        <v>#REF!</v>
      </c>
    </row>
    <row r="194" spans="1:8" x14ac:dyDescent="0.3">
      <c r="A194" s="161" t="e">
        <f>#REF!</f>
        <v>#REF!</v>
      </c>
      <c r="B194" s="161" t="e">
        <f>#REF!</f>
        <v>#REF!</v>
      </c>
      <c r="C194" s="161" t="e">
        <f>#REF!</f>
        <v>#REF!</v>
      </c>
      <c r="D194" s="161" t="e">
        <f>#REF!</f>
        <v>#REF!</v>
      </c>
      <c r="E194" s="161" t="e">
        <f>#REF!</f>
        <v>#REF!</v>
      </c>
      <c r="F194" s="161" t="e">
        <f>#REF!</f>
        <v>#REF!</v>
      </c>
      <c r="G194" s="161" t="e">
        <f>#REF!</f>
        <v>#REF!</v>
      </c>
      <c r="H194" s="161" t="e">
        <f>#REF!</f>
        <v>#REF!</v>
      </c>
    </row>
    <row r="195" spans="1:8" x14ac:dyDescent="0.3">
      <c r="A195" s="161" t="e">
        <f>#REF!</f>
        <v>#REF!</v>
      </c>
      <c r="B195" s="161" t="e">
        <f>#REF!</f>
        <v>#REF!</v>
      </c>
      <c r="C195" s="161" t="e">
        <f>#REF!</f>
        <v>#REF!</v>
      </c>
      <c r="D195" s="161" t="e">
        <f>#REF!</f>
        <v>#REF!</v>
      </c>
      <c r="E195" s="161" t="e">
        <f>#REF!</f>
        <v>#REF!</v>
      </c>
      <c r="F195" s="161" t="e">
        <f>#REF!</f>
        <v>#REF!</v>
      </c>
      <c r="G195" s="161" t="e">
        <f>#REF!</f>
        <v>#REF!</v>
      </c>
      <c r="H195" s="161" t="e">
        <f>#REF!</f>
        <v>#REF!</v>
      </c>
    </row>
    <row r="196" spans="1:8" x14ac:dyDescent="0.3">
      <c r="A196" s="161" t="e">
        <f>#REF!</f>
        <v>#REF!</v>
      </c>
      <c r="B196" s="161" t="e">
        <f>#REF!</f>
        <v>#REF!</v>
      </c>
      <c r="C196" s="161" t="e">
        <f>#REF!</f>
        <v>#REF!</v>
      </c>
      <c r="D196" s="161" t="e">
        <f>#REF!</f>
        <v>#REF!</v>
      </c>
      <c r="E196" s="161" t="e">
        <f>#REF!</f>
        <v>#REF!</v>
      </c>
      <c r="F196" s="161" t="e">
        <f>#REF!</f>
        <v>#REF!</v>
      </c>
      <c r="G196" s="161" t="e">
        <f>#REF!</f>
        <v>#REF!</v>
      </c>
      <c r="H196" s="161" t="e">
        <f>#REF!</f>
        <v>#REF!</v>
      </c>
    </row>
    <row r="197" spans="1:8" x14ac:dyDescent="0.3">
      <c r="A197" s="161" t="e">
        <f>#REF!</f>
        <v>#REF!</v>
      </c>
      <c r="B197" s="161" t="e">
        <f>#REF!</f>
        <v>#REF!</v>
      </c>
      <c r="C197" s="161" t="e">
        <f>#REF!</f>
        <v>#REF!</v>
      </c>
      <c r="D197" s="161" t="e">
        <f>#REF!</f>
        <v>#REF!</v>
      </c>
      <c r="E197" s="161" t="e">
        <f>#REF!</f>
        <v>#REF!</v>
      </c>
      <c r="F197" s="161" t="e">
        <f>#REF!</f>
        <v>#REF!</v>
      </c>
      <c r="G197" s="161" t="e">
        <f>#REF!</f>
        <v>#REF!</v>
      </c>
      <c r="H197" s="161" t="e">
        <f>#REF!</f>
        <v>#REF!</v>
      </c>
    </row>
    <row r="198" spans="1:8" x14ac:dyDescent="0.3">
      <c r="A198" s="161" t="e">
        <f>#REF!</f>
        <v>#REF!</v>
      </c>
      <c r="B198" s="161" t="e">
        <f>#REF!</f>
        <v>#REF!</v>
      </c>
      <c r="C198" s="161" t="e">
        <f>#REF!</f>
        <v>#REF!</v>
      </c>
      <c r="D198" s="161" t="e">
        <f>#REF!</f>
        <v>#REF!</v>
      </c>
      <c r="E198" s="161" t="e">
        <f>#REF!</f>
        <v>#REF!</v>
      </c>
      <c r="F198" s="161" t="e">
        <f>#REF!</f>
        <v>#REF!</v>
      </c>
      <c r="G198" s="161" t="e">
        <f>#REF!</f>
        <v>#REF!</v>
      </c>
      <c r="H198" s="161" t="e">
        <f>#REF!</f>
        <v>#REF!</v>
      </c>
    </row>
    <row r="199" spans="1:8" x14ac:dyDescent="0.3">
      <c r="A199" s="161" t="e">
        <f>#REF!</f>
        <v>#REF!</v>
      </c>
      <c r="B199" s="161" t="e">
        <f>#REF!</f>
        <v>#REF!</v>
      </c>
      <c r="C199" s="161" t="e">
        <f>#REF!</f>
        <v>#REF!</v>
      </c>
      <c r="D199" s="161" t="e">
        <f>#REF!</f>
        <v>#REF!</v>
      </c>
      <c r="E199" s="161" t="e">
        <f>#REF!</f>
        <v>#REF!</v>
      </c>
      <c r="F199" s="161" t="e">
        <f>#REF!</f>
        <v>#REF!</v>
      </c>
      <c r="G199" s="161" t="e">
        <f>#REF!</f>
        <v>#REF!</v>
      </c>
      <c r="H199" s="161" t="e">
        <f>#REF!</f>
        <v>#REF!</v>
      </c>
    </row>
    <row r="200" spans="1:8" x14ac:dyDescent="0.3">
      <c r="A200" s="161" t="e">
        <f>#REF!</f>
        <v>#REF!</v>
      </c>
      <c r="B200" s="161" t="e">
        <f>#REF!</f>
        <v>#REF!</v>
      </c>
      <c r="C200" s="161" t="e">
        <f>#REF!</f>
        <v>#REF!</v>
      </c>
      <c r="D200" s="161" t="e">
        <f>#REF!</f>
        <v>#REF!</v>
      </c>
      <c r="E200" s="161" t="e">
        <f>#REF!</f>
        <v>#REF!</v>
      </c>
      <c r="F200" s="161" t="e">
        <f>#REF!</f>
        <v>#REF!</v>
      </c>
      <c r="G200" s="161" t="e">
        <f>#REF!</f>
        <v>#REF!</v>
      </c>
      <c r="H200" s="161" t="e">
        <f>#REF!</f>
        <v>#REF!</v>
      </c>
    </row>
    <row r="201" spans="1:8" x14ac:dyDescent="0.3">
      <c r="A201" s="161" t="e">
        <f>#REF!</f>
        <v>#REF!</v>
      </c>
      <c r="B201" s="161" t="e">
        <f>#REF!</f>
        <v>#REF!</v>
      </c>
      <c r="C201" s="161" t="e">
        <f>#REF!</f>
        <v>#REF!</v>
      </c>
      <c r="D201" s="161" t="e">
        <f>#REF!</f>
        <v>#REF!</v>
      </c>
      <c r="E201" s="161" t="e">
        <f>#REF!</f>
        <v>#REF!</v>
      </c>
      <c r="F201" s="161" t="e">
        <f>#REF!</f>
        <v>#REF!</v>
      </c>
      <c r="G201" s="161" t="e">
        <f>#REF!</f>
        <v>#REF!</v>
      </c>
      <c r="H201" s="161" t="e">
        <f>#REF!</f>
        <v>#REF!</v>
      </c>
    </row>
    <row r="202" spans="1:8" x14ac:dyDescent="0.3">
      <c r="A202" s="161" t="e">
        <f>#REF!</f>
        <v>#REF!</v>
      </c>
      <c r="B202" s="161" t="e">
        <f>#REF!</f>
        <v>#REF!</v>
      </c>
      <c r="C202" s="161" t="e">
        <f>#REF!</f>
        <v>#REF!</v>
      </c>
      <c r="D202" s="161" t="e">
        <f>#REF!</f>
        <v>#REF!</v>
      </c>
      <c r="E202" s="161" t="e">
        <f>#REF!</f>
        <v>#REF!</v>
      </c>
      <c r="F202" s="161" t="e">
        <f>#REF!</f>
        <v>#REF!</v>
      </c>
      <c r="G202" s="161" t="e">
        <f>#REF!</f>
        <v>#REF!</v>
      </c>
      <c r="H202" s="161" t="e">
        <f>#REF!</f>
        <v>#REF!</v>
      </c>
    </row>
    <row r="203" spans="1:8" x14ac:dyDescent="0.3">
      <c r="A203" s="161" t="e">
        <f>#REF!</f>
        <v>#REF!</v>
      </c>
      <c r="B203" s="161" t="e">
        <f>#REF!</f>
        <v>#REF!</v>
      </c>
      <c r="C203" s="161" t="e">
        <f>#REF!</f>
        <v>#REF!</v>
      </c>
      <c r="D203" s="161" t="e">
        <f>#REF!</f>
        <v>#REF!</v>
      </c>
      <c r="E203" s="161" t="e">
        <f>#REF!</f>
        <v>#REF!</v>
      </c>
      <c r="F203" s="161" t="e">
        <f>#REF!</f>
        <v>#REF!</v>
      </c>
      <c r="G203" s="161" t="e">
        <f>#REF!</f>
        <v>#REF!</v>
      </c>
      <c r="H203" s="161" t="e">
        <f>#REF!</f>
        <v>#REF!</v>
      </c>
    </row>
    <row r="204" spans="1:8" x14ac:dyDescent="0.3">
      <c r="A204" s="161" t="e">
        <f>#REF!</f>
        <v>#REF!</v>
      </c>
      <c r="B204" s="161" t="e">
        <f>#REF!</f>
        <v>#REF!</v>
      </c>
      <c r="C204" s="161" t="e">
        <f>#REF!</f>
        <v>#REF!</v>
      </c>
      <c r="D204" s="161" t="e">
        <f>#REF!</f>
        <v>#REF!</v>
      </c>
      <c r="E204" s="161" t="e">
        <f>#REF!</f>
        <v>#REF!</v>
      </c>
      <c r="F204" s="161" t="e">
        <f>#REF!</f>
        <v>#REF!</v>
      </c>
      <c r="G204" s="161" t="e">
        <f>#REF!</f>
        <v>#REF!</v>
      </c>
      <c r="H204" s="161" t="e">
        <f>#REF!</f>
        <v>#REF!</v>
      </c>
    </row>
    <row r="205" spans="1:8" x14ac:dyDescent="0.3">
      <c r="A205" s="161" t="e">
        <f>#REF!</f>
        <v>#REF!</v>
      </c>
      <c r="B205" s="161" t="e">
        <f>#REF!</f>
        <v>#REF!</v>
      </c>
      <c r="C205" s="161" t="e">
        <f>#REF!</f>
        <v>#REF!</v>
      </c>
      <c r="D205" s="161" t="e">
        <f>#REF!</f>
        <v>#REF!</v>
      </c>
      <c r="E205" s="161" t="e">
        <f>#REF!</f>
        <v>#REF!</v>
      </c>
      <c r="F205" s="161" t="e">
        <f>#REF!</f>
        <v>#REF!</v>
      </c>
      <c r="G205" s="161" t="e">
        <f>#REF!</f>
        <v>#REF!</v>
      </c>
      <c r="H205" s="161" t="e">
        <f>#REF!</f>
        <v>#REF!</v>
      </c>
    </row>
  </sheetData>
  <pageMargins left="0.5" right="0.5" top="0.75" bottom="0.75" header="0.3" footer="0.3"/>
  <pageSetup paperSize="9" scale="67" orientation="landscape"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1"/>
  <sheetViews>
    <sheetView showGridLines="0" workbookViewId="0"/>
  </sheetViews>
  <sheetFormatPr defaultColWidth="9.109375" defaultRowHeight="14.4" x14ac:dyDescent="0.3"/>
  <cols>
    <col min="1" max="1" width="13.109375" style="161" bestFit="1" customWidth="1"/>
    <col min="2" max="2" width="33.88671875" style="161" customWidth="1"/>
    <col min="3" max="3" width="16.88671875" style="161" customWidth="1"/>
    <col min="4" max="4" width="13.5546875" style="161" bestFit="1" customWidth="1"/>
    <col min="5" max="5" width="9.6640625" style="161" customWidth="1"/>
    <col min="6" max="6" width="8.44140625" style="161" customWidth="1"/>
    <col min="7" max="7" width="19.33203125" style="161" customWidth="1"/>
    <col min="8" max="8" width="9.88671875" style="161" customWidth="1"/>
    <col min="9" max="9" width="17.3320312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164">
        <f>N11+I21</f>
        <v>3.8607300000000002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802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808</v>
      </c>
      <c r="D4" s="342" t="s">
        <v>541</v>
      </c>
      <c r="J4" s="342" t="s">
        <v>538</v>
      </c>
      <c r="M4" s="342" t="s">
        <v>539</v>
      </c>
      <c r="N4" s="164">
        <f>N1*N2</f>
        <v>3.8607300000000002</v>
      </c>
    </row>
    <row r="5" spans="1:14" x14ac:dyDescent="0.3">
      <c r="A5" s="342" t="s">
        <v>537</v>
      </c>
      <c r="B5" s="166" t="s">
        <v>92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95" customHeight="1" x14ac:dyDescent="0.3">
      <c r="A10" s="168">
        <v>10</v>
      </c>
      <c r="B10" s="168" t="s">
        <v>720</v>
      </c>
      <c r="C10" s="168"/>
      <c r="D10" s="170">
        <v>4.2</v>
      </c>
      <c r="E10" s="168">
        <v>40</v>
      </c>
      <c r="F10" s="168" t="s">
        <v>573</v>
      </c>
      <c r="G10" s="168">
        <v>25</v>
      </c>
      <c r="H10" s="219" t="s">
        <v>573</v>
      </c>
      <c r="I10" s="269" t="s">
        <v>861</v>
      </c>
      <c r="J10" s="227">
        <f>E10*G10/1000000</f>
        <v>1E-3</v>
      </c>
      <c r="K10" s="219">
        <v>1.4999999999999999E-2</v>
      </c>
      <c r="L10" s="219">
        <v>2710</v>
      </c>
      <c r="M10" s="339">
        <v>1</v>
      </c>
      <c r="N10" s="223">
        <f>IF(J10="",D10*M10,D10*J10*K10*L10*M10)</f>
        <v>0.17073000000000005</v>
      </c>
    </row>
    <row r="11" spans="1:14" s="178" customFormat="1" x14ac:dyDescent="0.3">
      <c r="M11" s="338" t="s">
        <v>547</v>
      </c>
      <c r="N11" s="337">
        <f>SUM(N10:N10)</f>
        <v>0.17073000000000005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15" customHeight="1" x14ac:dyDescent="0.3">
      <c r="A14" s="168">
        <v>10</v>
      </c>
      <c r="B14" s="180" t="s">
        <v>589</v>
      </c>
      <c r="C14" s="171"/>
      <c r="D14" s="170">
        <v>1.3</v>
      </c>
      <c r="E14" s="168" t="s">
        <v>556</v>
      </c>
      <c r="F14" s="168">
        <v>1</v>
      </c>
      <c r="G14" s="168"/>
      <c r="H14" s="168"/>
      <c r="I14" s="170">
        <f>IF('EN 02009'!$H14&lt;&gt;"",'EN 02009'!$D14*'EN 02009'!$F14*'EN 02009'!$H14,'EN 02009'!$D14*'EN 02009'!$F14)</f>
        <v>1.3</v>
      </c>
    </row>
    <row r="15" spans="1:14" ht="15" customHeight="1" x14ac:dyDescent="0.3">
      <c r="A15" s="168">
        <v>20</v>
      </c>
      <c r="B15" s="180" t="s">
        <v>609</v>
      </c>
      <c r="C15" s="168"/>
      <c r="D15" s="368">
        <v>0.04</v>
      </c>
      <c r="E15" s="180" t="s">
        <v>610</v>
      </c>
      <c r="F15" s="168">
        <v>7</v>
      </c>
      <c r="G15" s="168" t="s">
        <v>723</v>
      </c>
      <c r="H15" s="168">
        <v>1</v>
      </c>
      <c r="I15" s="170">
        <f>IF('EN 02009'!$H15&lt;&gt;"",'EN 02009'!$D15*'EN 02009'!$F15*'EN 02009'!$H15,'EN 02009'!$D15*'EN 02009'!$F15)</f>
        <v>0.28000000000000003</v>
      </c>
    </row>
    <row r="16" spans="1:14" ht="15" customHeight="1" x14ac:dyDescent="0.3">
      <c r="A16" s="168">
        <v>30</v>
      </c>
      <c r="B16" s="180" t="s">
        <v>791</v>
      </c>
      <c r="C16" s="168"/>
      <c r="D16" s="368">
        <v>0.35</v>
      </c>
      <c r="E16" s="168" t="s">
        <v>843</v>
      </c>
      <c r="F16" s="168">
        <v>1</v>
      </c>
      <c r="G16" s="168"/>
      <c r="H16" s="168"/>
      <c r="I16" s="170">
        <f>IF('EN 02009'!$H16&lt;&gt;"",'EN 02009'!$D16*'EN 02009'!$F16*'EN 02009'!$H16,'EN 02009'!$D16*'EN 02009'!$F16)</f>
        <v>0.35</v>
      </c>
    </row>
    <row r="17" spans="1:9" ht="15" customHeight="1" x14ac:dyDescent="0.3">
      <c r="A17" s="168">
        <v>40</v>
      </c>
      <c r="B17" s="180" t="s">
        <v>785</v>
      </c>
      <c r="C17" s="171"/>
      <c r="D17" s="170">
        <v>0.65</v>
      </c>
      <c r="E17" s="168" t="s">
        <v>556</v>
      </c>
      <c r="F17" s="168">
        <v>1</v>
      </c>
      <c r="G17" s="168"/>
      <c r="H17" s="168"/>
      <c r="I17" s="170">
        <f>IF('EN 02009'!$H17&lt;&gt;"",'EN 02009'!$D17*'EN 02009'!$F17*'EN 02009'!$H17,'EN 02009'!$D17*'EN 02009'!$F17)</f>
        <v>0.65</v>
      </c>
    </row>
    <row r="18" spans="1:9" ht="15" customHeight="1" x14ac:dyDescent="0.3">
      <c r="A18" s="168">
        <v>50</v>
      </c>
      <c r="B18" s="180" t="s">
        <v>609</v>
      </c>
      <c r="C18" s="168"/>
      <c r="D18" s="368">
        <v>0.04</v>
      </c>
      <c r="E18" s="180" t="s">
        <v>610</v>
      </c>
      <c r="F18" s="168">
        <v>4</v>
      </c>
      <c r="G18" s="168" t="s">
        <v>723</v>
      </c>
      <c r="H18" s="168">
        <v>1</v>
      </c>
      <c r="I18" s="170">
        <f>IF('EN 02009'!$H18&lt;&gt;"",'EN 02009'!$D18*'EN 02009'!$F18*'EN 02009'!$H18,'EN 02009'!$D18*'EN 02009'!$F18)</f>
        <v>0.16</v>
      </c>
    </row>
    <row r="19" spans="1:9" ht="15" customHeight="1" x14ac:dyDescent="0.3">
      <c r="A19" s="168">
        <v>60</v>
      </c>
      <c r="B19" s="180" t="s">
        <v>862</v>
      </c>
      <c r="C19" s="171"/>
      <c r="D19" s="170">
        <v>0.1</v>
      </c>
      <c r="E19" s="168" t="s">
        <v>593</v>
      </c>
      <c r="F19" s="168">
        <v>1.5</v>
      </c>
      <c r="G19" s="168"/>
      <c r="H19" s="168"/>
      <c r="I19" s="170">
        <f>IF('EN 02009'!$H19&lt;&gt;"",'EN 02009'!$D19*'EN 02009'!$F19*'EN 02009'!$H19,'EN 02009'!$D19*'EN 02009'!$F19)</f>
        <v>0.15000000000000002</v>
      </c>
    </row>
    <row r="20" spans="1:9" ht="15" customHeight="1" x14ac:dyDescent="0.3">
      <c r="A20" s="168">
        <v>70</v>
      </c>
      <c r="B20" s="180" t="s">
        <v>863</v>
      </c>
      <c r="C20" s="168"/>
      <c r="D20" s="368">
        <v>0.4</v>
      </c>
      <c r="E20" s="180" t="s">
        <v>593</v>
      </c>
      <c r="F20" s="168">
        <v>2</v>
      </c>
      <c r="G20" s="168"/>
      <c r="H20" s="168"/>
      <c r="I20" s="170">
        <f>IF('EN 02009'!$H20&lt;&gt;"",'EN 02009'!$D20*'EN 02009'!$F20*'EN 02009'!$H20,'EN 02009'!$D20*'EN 02009'!$F20)</f>
        <v>0.8</v>
      </c>
    </row>
    <row r="21" spans="1:9" s="178" customFormat="1" x14ac:dyDescent="0.3">
      <c r="H21" s="338" t="s">
        <v>547</v>
      </c>
      <c r="I21" s="337">
        <f>SUM(I14:I20)</f>
        <v>3.6900000000000004</v>
      </c>
    </row>
  </sheetData>
  <pageMargins left="0.5" right="0.5" top="0.75" bottom="0.75" header="0.3" footer="0.3"/>
  <pageSetup paperSize="9" scale="65" orientation="landscape"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N56"/>
  <sheetViews>
    <sheetView showGridLines="0" workbookViewId="0"/>
  </sheetViews>
  <sheetFormatPr defaultColWidth="9.109375" defaultRowHeight="14.4" x14ac:dyDescent="0.3"/>
  <cols>
    <col min="1" max="1" width="11.33203125" style="161" bestFit="1" customWidth="1"/>
    <col min="2" max="2" width="26.109375" style="161" customWidth="1"/>
    <col min="3" max="3" width="26.44140625" style="161" bestFit="1" customWidth="1"/>
    <col min="4" max="4" width="11" style="161" bestFit="1" customWidth="1"/>
    <col min="5" max="5" width="10.33203125" style="161" bestFit="1" customWidth="1"/>
    <col min="6" max="6" width="8.44140625" style="161" customWidth="1"/>
    <col min="7" max="7" width="9.33203125" style="161" customWidth="1"/>
    <col min="8" max="8" width="10.88671875" style="16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8.44140625" style="161" customWidth="1"/>
    <col min="13" max="13" width="17.109375" style="161" customWidth="1"/>
    <col min="14" max="14" width="12" style="161" customWidth="1"/>
    <col min="15" max="16384" width="9.109375" style="161"/>
  </cols>
  <sheetData>
    <row r="1" spans="1:14" x14ac:dyDescent="0.3">
      <c r="A1" s="335" t="s">
        <v>523</v>
      </c>
      <c r="B1" s="161" t="s">
        <v>524</v>
      </c>
      <c r="J1" s="335" t="s">
        <v>528</v>
      </c>
      <c r="K1" s="163">
        <v>81</v>
      </c>
      <c r="M1" s="335" t="s">
        <v>531</v>
      </c>
      <c r="N1" s="336">
        <f>E17+N22+I43+J52+I56</f>
        <v>166.12373066442547</v>
      </c>
    </row>
    <row r="2" spans="1:14" x14ac:dyDescent="0.3">
      <c r="A2" s="335" t="s">
        <v>532</v>
      </c>
      <c r="B2" s="161" t="s">
        <v>780</v>
      </c>
      <c r="M2" s="335" t="s">
        <v>533</v>
      </c>
      <c r="N2" s="165">
        <v>1</v>
      </c>
    </row>
    <row r="3" spans="1:14" x14ac:dyDescent="0.3">
      <c r="A3" s="335" t="s">
        <v>534</v>
      </c>
      <c r="B3" s="161" t="s">
        <v>866</v>
      </c>
      <c r="J3" s="335" t="s">
        <v>536</v>
      </c>
    </row>
    <row r="4" spans="1:14" x14ac:dyDescent="0.3">
      <c r="A4" s="335" t="s">
        <v>537</v>
      </c>
      <c r="B4" s="166" t="s">
        <v>93</v>
      </c>
      <c r="J4" s="335" t="s">
        <v>538</v>
      </c>
      <c r="M4" s="335" t="s">
        <v>539</v>
      </c>
      <c r="N4" s="336">
        <f>N1*N2</f>
        <v>166.12373066442547</v>
      </c>
    </row>
    <row r="5" spans="1:14" x14ac:dyDescent="0.3">
      <c r="A5" s="335" t="s">
        <v>540</v>
      </c>
      <c r="B5" s="161" t="s">
        <v>36</v>
      </c>
      <c r="J5" s="335" t="s">
        <v>541</v>
      </c>
    </row>
    <row r="6" spans="1:14" x14ac:dyDescent="0.3">
      <c r="A6" s="335" t="s">
        <v>542</v>
      </c>
      <c r="B6" s="161" t="s">
        <v>867</v>
      </c>
    </row>
    <row r="8" spans="1:14" x14ac:dyDescent="0.3">
      <c r="A8" s="324" t="s">
        <v>544</v>
      </c>
      <c r="B8" s="324" t="s">
        <v>545</v>
      </c>
      <c r="C8" s="324" t="s">
        <v>546</v>
      </c>
      <c r="D8" s="324" t="s">
        <v>28</v>
      </c>
      <c r="E8" s="324" t="s">
        <v>547</v>
      </c>
    </row>
    <row r="9" spans="1:14" x14ac:dyDescent="0.3">
      <c r="A9" s="168">
        <v>10</v>
      </c>
      <c r="B9" s="168" t="s">
        <v>868</v>
      </c>
      <c r="C9" s="323">
        <f>'EN 03001'!N4</f>
        <v>70.173858333333342</v>
      </c>
      <c r="D9" s="215">
        <v>1</v>
      </c>
      <c r="E9" s="322">
        <f>C9*D9</f>
        <v>70.173858333333342</v>
      </c>
    </row>
    <row r="10" spans="1:14" x14ac:dyDescent="0.3">
      <c r="A10" s="168">
        <v>20</v>
      </c>
      <c r="B10" s="168" t="s">
        <v>98</v>
      </c>
      <c r="C10" s="323">
        <f>'EN 03002'!N4</f>
        <v>15.366058246666665</v>
      </c>
      <c r="D10" s="215">
        <v>1</v>
      </c>
      <c r="E10" s="322">
        <f t="shared" ref="E10:E15" si="0">C10*D10</f>
        <v>15.366058246666665</v>
      </c>
    </row>
    <row r="11" spans="1:14" x14ac:dyDescent="0.3">
      <c r="A11" s="168">
        <v>30</v>
      </c>
      <c r="B11" s="168" t="s">
        <v>100</v>
      </c>
      <c r="C11" s="323">
        <f>'EN 03003'!N4</f>
        <v>11.845227571092115</v>
      </c>
      <c r="D11" s="215">
        <v>1</v>
      </c>
      <c r="E11" s="322">
        <f t="shared" si="0"/>
        <v>11.845227571092115</v>
      </c>
    </row>
    <row r="12" spans="1:14" x14ac:dyDescent="0.3">
      <c r="A12" s="168">
        <v>40</v>
      </c>
      <c r="B12" s="168" t="s">
        <v>102</v>
      </c>
      <c r="C12" s="323">
        <f>'EN 03004'!N1</f>
        <v>1.0023919999999999</v>
      </c>
      <c r="D12" s="215">
        <v>2</v>
      </c>
      <c r="E12" s="322">
        <f t="shared" si="0"/>
        <v>2.0047839999999999</v>
      </c>
    </row>
    <row r="13" spans="1:14" x14ac:dyDescent="0.3">
      <c r="A13" s="168">
        <v>50</v>
      </c>
      <c r="B13" s="168" t="s">
        <v>104</v>
      </c>
      <c r="C13" s="323">
        <f>'EN 03005'!N4</f>
        <v>3.5963104000000001</v>
      </c>
      <c r="D13" s="215">
        <v>1</v>
      </c>
      <c r="E13" s="322">
        <f t="shared" si="0"/>
        <v>3.5963104000000001</v>
      </c>
    </row>
    <row r="14" spans="1:14" x14ac:dyDescent="0.3">
      <c r="A14" s="168">
        <v>60</v>
      </c>
      <c r="B14" s="168" t="s">
        <v>106</v>
      </c>
      <c r="C14" s="323">
        <f>'EN 03006'!N4</f>
        <v>3.9607300000000003</v>
      </c>
      <c r="D14" s="215">
        <v>1</v>
      </c>
      <c r="E14" s="322">
        <f t="shared" si="0"/>
        <v>3.9607300000000003</v>
      </c>
    </row>
    <row r="15" spans="1:14" x14ac:dyDescent="0.3">
      <c r="A15" s="168">
        <v>70</v>
      </c>
      <c r="B15" s="168" t="s">
        <v>108</v>
      </c>
      <c r="C15" s="323">
        <f>'EN 03007'!N4</f>
        <v>2.25882878</v>
      </c>
      <c r="D15" s="215">
        <v>1</v>
      </c>
      <c r="E15" s="322">
        <f t="shared" si="0"/>
        <v>2.25882878</v>
      </c>
    </row>
    <row r="16" spans="1:14" x14ac:dyDescent="0.3">
      <c r="A16" s="168">
        <v>80</v>
      </c>
      <c r="B16" s="376" t="s">
        <v>869</v>
      </c>
      <c r="C16" s="323">
        <f>'EN 03008'!N4</f>
        <v>3.9146000000000001</v>
      </c>
      <c r="D16" s="215">
        <v>1</v>
      </c>
      <c r="E16" s="322">
        <f>C16*D16</f>
        <v>3.9146000000000001</v>
      </c>
    </row>
    <row r="17" spans="1:14" x14ac:dyDescent="0.3">
      <c r="D17" s="321" t="s">
        <v>547</v>
      </c>
      <c r="E17" s="320">
        <f>SUM(E9:E16)</f>
        <v>113.12039733109214</v>
      </c>
    </row>
    <row r="19" spans="1:14" x14ac:dyDescent="0.3">
      <c r="A19" s="324" t="s">
        <v>544</v>
      </c>
      <c r="B19" s="324" t="s">
        <v>581</v>
      </c>
      <c r="C19" s="324" t="s">
        <v>549</v>
      </c>
      <c r="D19" s="324" t="s">
        <v>550</v>
      </c>
      <c r="E19" s="324" t="s">
        <v>567</v>
      </c>
      <c r="F19" s="324" t="s">
        <v>568</v>
      </c>
      <c r="G19" s="324" t="s">
        <v>569</v>
      </c>
      <c r="H19" s="324" t="s">
        <v>570</v>
      </c>
      <c r="I19" s="324" t="s">
        <v>582</v>
      </c>
      <c r="J19" s="324" t="s">
        <v>583</v>
      </c>
      <c r="K19" s="324" t="s">
        <v>584</v>
      </c>
      <c r="L19" s="324" t="s">
        <v>585</v>
      </c>
      <c r="M19" s="324" t="s">
        <v>28</v>
      </c>
      <c r="N19" s="324" t="s">
        <v>547</v>
      </c>
    </row>
    <row r="20" spans="1:14" x14ac:dyDescent="0.3">
      <c r="A20" s="168">
        <v>10</v>
      </c>
      <c r="B20" s="225" t="s">
        <v>870</v>
      </c>
      <c r="C20" s="168" t="s">
        <v>871</v>
      </c>
      <c r="D20" s="323">
        <v>3.5</v>
      </c>
      <c r="E20" s="168">
        <v>44</v>
      </c>
      <c r="F20" s="168" t="s">
        <v>573</v>
      </c>
      <c r="G20" s="168">
        <v>150</v>
      </c>
      <c r="H20" s="219" t="s">
        <v>573</v>
      </c>
      <c r="I20" s="220"/>
      <c r="J20" s="221"/>
      <c r="K20" s="219"/>
      <c r="L20" s="219"/>
      <c r="M20" s="339">
        <v>1</v>
      </c>
      <c r="N20" s="322">
        <f>IF(J20="",D20*M20,D20*J20*K20*L20*M20)</f>
        <v>3.5</v>
      </c>
    </row>
    <row r="21" spans="1:14" x14ac:dyDescent="0.3">
      <c r="A21" s="168">
        <v>20</v>
      </c>
      <c r="B21" s="225" t="s">
        <v>872</v>
      </c>
      <c r="C21" s="168" t="s">
        <v>873</v>
      </c>
      <c r="D21" s="323">
        <v>50</v>
      </c>
      <c r="E21" s="168">
        <v>0.25</v>
      </c>
      <c r="F21" s="168" t="s">
        <v>644</v>
      </c>
      <c r="G21" s="168">
        <v>0.248</v>
      </c>
      <c r="H21" s="219" t="s">
        <v>644</v>
      </c>
      <c r="I21" s="220"/>
      <c r="J21" s="228">
        <f>G21*E21</f>
        <v>6.2E-2</v>
      </c>
      <c r="K21" s="219"/>
      <c r="L21" s="219"/>
      <c r="M21" s="339">
        <v>1</v>
      </c>
      <c r="N21" s="322">
        <f>J21*D21</f>
        <v>3.1</v>
      </c>
    </row>
    <row r="22" spans="1:14" s="178" customFormat="1" x14ac:dyDescent="0.3">
      <c r="M22" s="321" t="s">
        <v>547</v>
      </c>
      <c r="N22" s="320">
        <f>SUM(N20:N21)</f>
        <v>6.6</v>
      </c>
    </row>
    <row r="24" spans="1:14" s="178" customFormat="1" x14ac:dyDescent="0.3">
      <c r="A24" s="324" t="s">
        <v>544</v>
      </c>
      <c r="B24" s="324" t="s">
        <v>548</v>
      </c>
      <c r="C24" s="324" t="s">
        <v>549</v>
      </c>
      <c r="D24" s="324" t="s">
        <v>550</v>
      </c>
      <c r="E24" s="324" t="s">
        <v>551</v>
      </c>
      <c r="F24" s="324" t="s">
        <v>28</v>
      </c>
      <c r="G24" s="324" t="s">
        <v>552</v>
      </c>
      <c r="H24" s="324" t="s">
        <v>553</v>
      </c>
      <c r="I24" s="324" t="s">
        <v>547</v>
      </c>
    </row>
    <row r="25" spans="1:14" s="178" customFormat="1" x14ac:dyDescent="0.3">
      <c r="A25" s="168">
        <v>10</v>
      </c>
      <c r="B25" s="168" t="s">
        <v>650</v>
      </c>
      <c r="C25" s="168" t="s">
        <v>874</v>
      </c>
      <c r="D25" s="323">
        <v>0.15</v>
      </c>
      <c r="E25" s="168" t="s">
        <v>593</v>
      </c>
      <c r="F25" s="168">
        <v>10</v>
      </c>
      <c r="G25" s="351"/>
      <c r="H25" s="351"/>
      <c r="I25" s="323">
        <f>D25*F25</f>
        <v>1.5</v>
      </c>
    </row>
    <row r="26" spans="1:14" x14ac:dyDescent="0.3">
      <c r="A26" s="168">
        <v>20</v>
      </c>
      <c r="B26" s="180" t="s">
        <v>557</v>
      </c>
      <c r="C26" s="171" t="s">
        <v>875</v>
      </c>
      <c r="D26" s="323">
        <v>0.06</v>
      </c>
      <c r="E26" s="168" t="s">
        <v>556</v>
      </c>
      <c r="F26" s="168">
        <v>4</v>
      </c>
      <c r="G26" s="168"/>
      <c r="H26" s="168"/>
      <c r="I26" s="323">
        <f>D26*F26</f>
        <v>0.24</v>
      </c>
    </row>
    <row r="27" spans="1:14" ht="28.8" x14ac:dyDescent="0.3">
      <c r="A27" s="168">
        <v>30</v>
      </c>
      <c r="B27" s="350" t="s">
        <v>2950</v>
      </c>
      <c r="C27" s="193" t="s">
        <v>876</v>
      </c>
      <c r="D27" s="323">
        <v>0.25</v>
      </c>
      <c r="E27" s="168" t="s">
        <v>556</v>
      </c>
      <c r="F27" s="168">
        <v>4</v>
      </c>
      <c r="G27" s="168"/>
      <c r="H27" s="168"/>
      <c r="I27" s="323">
        <f t="shared" ref="I27:I41" si="1">D27*F27</f>
        <v>1</v>
      </c>
    </row>
    <row r="28" spans="1:14" x14ac:dyDescent="0.3">
      <c r="A28" s="168">
        <v>40</v>
      </c>
      <c r="B28" s="180" t="s">
        <v>557</v>
      </c>
      <c r="C28" s="193" t="s">
        <v>877</v>
      </c>
      <c r="D28" s="323">
        <v>0.06</v>
      </c>
      <c r="E28" s="168" t="s">
        <v>556</v>
      </c>
      <c r="F28" s="168">
        <v>1</v>
      </c>
      <c r="G28" s="168"/>
      <c r="H28" s="168"/>
      <c r="I28" s="323">
        <f t="shared" si="1"/>
        <v>0.06</v>
      </c>
    </row>
    <row r="29" spans="1:14" x14ac:dyDescent="0.3">
      <c r="A29" s="168">
        <v>50</v>
      </c>
      <c r="B29" s="180" t="s">
        <v>557</v>
      </c>
      <c r="C29" s="171" t="s">
        <v>878</v>
      </c>
      <c r="D29" s="323">
        <v>0.06</v>
      </c>
      <c r="E29" s="168" t="s">
        <v>556</v>
      </c>
      <c r="F29" s="168">
        <v>4</v>
      </c>
      <c r="G29" s="168"/>
      <c r="H29" s="168"/>
      <c r="I29" s="323">
        <f t="shared" si="1"/>
        <v>0.24</v>
      </c>
    </row>
    <row r="30" spans="1:14" x14ac:dyDescent="0.3">
      <c r="A30" s="168">
        <v>60</v>
      </c>
      <c r="B30" s="350" t="s">
        <v>2950</v>
      </c>
      <c r="C30" s="171" t="s">
        <v>879</v>
      </c>
      <c r="D30" s="323">
        <v>0.25</v>
      </c>
      <c r="E30" s="168" t="s">
        <v>556</v>
      </c>
      <c r="F30" s="168">
        <v>4</v>
      </c>
      <c r="G30" s="168"/>
      <c r="H30" s="168"/>
      <c r="I30" s="323">
        <f t="shared" si="1"/>
        <v>1</v>
      </c>
    </row>
    <row r="31" spans="1:14" x14ac:dyDescent="0.3">
      <c r="A31" s="168">
        <v>70</v>
      </c>
      <c r="B31" s="180" t="s">
        <v>557</v>
      </c>
      <c r="C31" s="171" t="s">
        <v>108</v>
      </c>
      <c r="D31" s="323">
        <v>0.06</v>
      </c>
      <c r="E31" s="168" t="s">
        <v>556</v>
      </c>
      <c r="F31" s="168">
        <v>1</v>
      </c>
      <c r="G31" s="168"/>
      <c r="H31" s="168"/>
      <c r="I31" s="323">
        <f t="shared" si="1"/>
        <v>0.06</v>
      </c>
    </row>
    <row r="32" spans="1:14" x14ac:dyDescent="0.3">
      <c r="A32" s="168">
        <v>80</v>
      </c>
      <c r="B32" s="180" t="s">
        <v>557</v>
      </c>
      <c r="C32" s="171" t="s">
        <v>880</v>
      </c>
      <c r="D32" s="323">
        <v>0.06</v>
      </c>
      <c r="E32" s="168" t="s">
        <v>556</v>
      </c>
      <c r="F32" s="168">
        <v>2</v>
      </c>
      <c r="G32" s="168"/>
      <c r="H32" s="168"/>
      <c r="I32" s="323">
        <f t="shared" si="1"/>
        <v>0.12</v>
      </c>
    </row>
    <row r="33" spans="1:10" x14ac:dyDescent="0.3">
      <c r="A33" s="168">
        <v>90</v>
      </c>
      <c r="B33" s="349" t="s">
        <v>760</v>
      </c>
      <c r="C33" s="171" t="s">
        <v>881</v>
      </c>
      <c r="D33" s="323">
        <v>0.19</v>
      </c>
      <c r="E33" s="168" t="s">
        <v>556</v>
      </c>
      <c r="F33" s="168">
        <v>1</v>
      </c>
      <c r="G33" s="168"/>
      <c r="H33" s="168"/>
      <c r="I33" s="323">
        <f t="shared" si="1"/>
        <v>0.19</v>
      </c>
    </row>
    <row r="34" spans="1:10" x14ac:dyDescent="0.3">
      <c r="A34" s="168">
        <v>100</v>
      </c>
      <c r="B34" s="180" t="s">
        <v>680</v>
      </c>
      <c r="C34" s="171" t="s">
        <v>882</v>
      </c>
      <c r="D34" s="323">
        <v>0.5</v>
      </c>
      <c r="E34" s="168" t="s">
        <v>556</v>
      </c>
      <c r="F34" s="168">
        <v>1</v>
      </c>
      <c r="G34" s="168"/>
      <c r="H34" s="168"/>
      <c r="I34" s="323">
        <f t="shared" si="1"/>
        <v>0.5</v>
      </c>
    </row>
    <row r="35" spans="1:10" x14ac:dyDescent="0.3">
      <c r="A35" s="168">
        <v>110</v>
      </c>
      <c r="B35" s="350" t="s">
        <v>760</v>
      </c>
      <c r="C35" s="171" t="s">
        <v>883</v>
      </c>
      <c r="D35" s="323">
        <v>0.19</v>
      </c>
      <c r="E35" s="168" t="s">
        <v>556</v>
      </c>
      <c r="F35" s="168">
        <v>1</v>
      </c>
      <c r="G35" s="168"/>
      <c r="H35" s="168"/>
      <c r="I35" s="323">
        <f t="shared" si="1"/>
        <v>0.19</v>
      </c>
    </row>
    <row r="36" spans="1:10" x14ac:dyDescent="0.3">
      <c r="A36" s="168">
        <v>120</v>
      </c>
      <c r="B36" s="180" t="s">
        <v>680</v>
      </c>
      <c r="C36" s="171" t="s">
        <v>882</v>
      </c>
      <c r="D36" s="323">
        <v>0.5</v>
      </c>
      <c r="E36" s="168" t="s">
        <v>556</v>
      </c>
      <c r="F36" s="168">
        <v>1</v>
      </c>
      <c r="G36" s="168"/>
      <c r="H36" s="168"/>
      <c r="I36" s="323">
        <f t="shared" si="1"/>
        <v>0.5</v>
      </c>
    </row>
    <row r="37" spans="1:10" x14ac:dyDescent="0.3">
      <c r="A37" s="168">
        <v>130</v>
      </c>
      <c r="B37" s="180" t="s">
        <v>557</v>
      </c>
      <c r="C37" s="171" t="s">
        <v>106</v>
      </c>
      <c r="D37" s="323">
        <v>0.06</v>
      </c>
      <c r="E37" s="168" t="s">
        <v>556</v>
      </c>
      <c r="F37" s="168">
        <v>1</v>
      </c>
      <c r="G37" s="168"/>
      <c r="H37" s="168"/>
      <c r="I37" s="323">
        <f t="shared" si="1"/>
        <v>0.06</v>
      </c>
    </row>
    <row r="38" spans="1:10" x14ac:dyDescent="0.3">
      <c r="A38" s="168">
        <v>140</v>
      </c>
      <c r="B38" s="349" t="s">
        <v>659</v>
      </c>
      <c r="C38" s="171" t="s">
        <v>884</v>
      </c>
      <c r="D38" s="323">
        <v>0.5</v>
      </c>
      <c r="E38" s="168" t="s">
        <v>556</v>
      </c>
      <c r="F38" s="168">
        <v>2</v>
      </c>
      <c r="G38" s="168"/>
      <c r="H38" s="168"/>
      <c r="I38" s="323">
        <f t="shared" si="1"/>
        <v>1</v>
      </c>
    </row>
    <row r="39" spans="1:10" x14ac:dyDescent="0.3">
      <c r="A39" s="168">
        <v>150</v>
      </c>
      <c r="B39" s="180" t="s">
        <v>660</v>
      </c>
      <c r="C39" s="171" t="s">
        <v>818</v>
      </c>
      <c r="D39" s="323">
        <v>0.25</v>
      </c>
      <c r="E39" s="168" t="s">
        <v>556</v>
      </c>
      <c r="F39" s="168">
        <v>2</v>
      </c>
      <c r="G39" s="168"/>
      <c r="H39" s="168"/>
      <c r="I39" s="323">
        <f t="shared" si="1"/>
        <v>0.5</v>
      </c>
    </row>
    <row r="40" spans="1:10" x14ac:dyDescent="0.3">
      <c r="A40" s="168">
        <v>160</v>
      </c>
      <c r="B40" s="180" t="s">
        <v>559</v>
      </c>
      <c r="C40" s="171" t="s">
        <v>885</v>
      </c>
      <c r="D40" s="323">
        <v>0.75</v>
      </c>
      <c r="E40" s="168" t="s">
        <v>556</v>
      </c>
      <c r="F40" s="168">
        <v>1</v>
      </c>
      <c r="G40" s="168"/>
      <c r="H40" s="168"/>
      <c r="I40" s="323">
        <f t="shared" si="1"/>
        <v>0.75</v>
      </c>
    </row>
    <row r="41" spans="1:10" x14ac:dyDescent="0.3">
      <c r="A41" s="168">
        <v>170</v>
      </c>
      <c r="B41" s="180" t="s">
        <v>886</v>
      </c>
      <c r="C41" s="171" t="s">
        <v>100</v>
      </c>
      <c r="D41" s="323">
        <v>0.75</v>
      </c>
      <c r="E41" s="168" t="s">
        <v>556</v>
      </c>
      <c r="F41" s="168">
        <v>1</v>
      </c>
      <c r="G41" s="168"/>
      <c r="H41" s="168"/>
      <c r="I41" s="323">
        <f t="shared" si="1"/>
        <v>0.75</v>
      </c>
    </row>
    <row r="42" spans="1:10" x14ac:dyDescent="0.3">
      <c r="A42" s="168">
        <v>180</v>
      </c>
      <c r="B42" s="180" t="s">
        <v>557</v>
      </c>
      <c r="C42" s="171" t="s">
        <v>887</v>
      </c>
      <c r="D42" s="323">
        <v>0.06</v>
      </c>
      <c r="E42" s="168" t="s">
        <v>556</v>
      </c>
      <c r="F42" s="168">
        <v>1</v>
      </c>
      <c r="G42" s="168"/>
      <c r="H42" s="168"/>
      <c r="I42" s="323">
        <f>F42*D42</f>
        <v>0.06</v>
      </c>
    </row>
    <row r="43" spans="1:10" s="178" customFormat="1" x14ac:dyDescent="0.3">
      <c r="H43" s="321" t="s">
        <v>547</v>
      </c>
      <c r="I43" s="320">
        <f>SUM(I25:I42)</f>
        <v>8.7200000000000006</v>
      </c>
    </row>
    <row r="45" spans="1:10" s="178" customFormat="1" x14ac:dyDescent="0.3">
      <c r="A45" s="324" t="s">
        <v>544</v>
      </c>
      <c r="B45" s="324" t="s">
        <v>566</v>
      </c>
      <c r="C45" s="324" t="s">
        <v>549</v>
      </c>
      <c r="D45" s="324" t="s">
        <v>550</v>
      </c>
      <c r="E45" s="324" t="s">
        <v>567</v>
      </c>
      <c r="F45" s="324" t="s">
        <v>568</v>
      </c>
      <c r="G45" s="324" t="s">
        <v>569</v>
      </c>
      <c r="H45" s="324" t="s">
        <v>570</v>
      </c>
      <c r="I45" s="324" t="s">
        <v>28</v>
      </c>
      <c r="J45" s="324" t="s">
        <v>547</v>
      </c>
    </row>
    <row r="46" spans="1:10" x14ac:dyDescent="0.3">
      <c r="A46" s="168">
        <v>10</v>
      </c>
      <c r="B46" s="168" t="s">
        <v>888</v>
      </c>
      <c r="C46" s="168" t="s">
        <v>889</v>
      </c>
      <c r="D46" s="323">
        <v>0.55000000000000004</v>
      </c>
      <c r="E46" s="168">
        <v>12</v>
      </c>
      <c r="F46" s="245" t="s">
        <v>573</v>
      </c>
      <c r="G46" s="168"/>
      <c r="H46" s="171"/>
      <c r="I46" s="327">
        <v>2</v>
      </c>
      <c r="J46" s="323">
        <f t="shared" ref="J46:J51" si="2">D46*I46</f>
        <v>1.1000000000000001</v>
      </c>
    </row>
    <row r="47" spans="1:10" x14ac:dyDescent="0.3">
      <c r="A47" s="168">
        <v>20</v>
      </c>
      <c r="B47" s="168" t="s">
        <v>888</v>
      </c>
      <c r="C47" s="168" t="s">
        <v>890</v>
      </c>
      <c r="D47" s="323">
        <v>0.69</v>
      </c>
      <c r="E47" s="168">
        <v>48</v>
      </c>
      <c r="F47" s="245" t="s">
        <v>573</v>
      </c>
      <c r="G47" s="168"/>
      <c r="H47" s="171"/>
      <c r="I47" s="327">
        <v>2</v>
      </c>
      <c r="J47" s="323">
        <f t="shared" si="2"/>
        <v>1.38</v>
      </c>
    </row>
    <row r="48" spans="1:10" ht="28.8" x14ac:dyDescent="0.3">
      <c r="A48" s="168">
        <v>30</v>
      </c>
      <c r="B48" s="184" t="s">
        <v>768</v>
      </c>
      <c r="C48" s="168"/>
      <c r="D48" s="323">
        <v>8.1</v>
      </c>
      <c r="E48" s="168">
        <v>30</v>
      </c>
      <c r="F48" s="245" t="s">
        <v>573</v>
      </c>
      <c r="G48" s="168"/>
      <c r="H48" s="171"/>
      <c r="I48" s="327">
        <v>4</v>
      </c>
      <c r="J48" s="323">
        <f t="shared" si="2"/>
        <v>32.4</v>
      </c>
    </row>
    <row r="49" spans="1:10" x14ac:dyDescent="0.3">
      <c r="A49" s="168">
        <v>40</v>
      </c>
      <c r="B49" s="168" t="s">
        <v>574</v>
      </c>
      <c r="C49" s="168" t="s">
        <v>891</v>
      </c>
      <c r="D49" s="323">
        <v>0.01</v>
      </c>
      <c r="E49" s="168">
        <v>8</v>
      </c>
      <c r="F49" s="245" t="s">
        <v>573</v>
      </c>
      <c r="G49" s="168"/>
      <c r="H49" s="171"/>
      <c r="I49" s="327">
        <v>8</v>
      </c>
      <c r="J49" s="323">
        <f t="shared" si="2"/>
        <v>0.08</v>
      </c>
    </row>
    <row r="50" spans="1:10" x14ac:dyDescent="0.3">
      <c r="A50" s="168">
        <v>50</v>
      </c>
      <c r="B50" s="168" t="s">
        <v>618</v>
      </c>
      <c r="C50" s="168" t="s">
        <v>891</v>
      </c>
      <c r="D50" s="323">
        <v>0.04</v>
      </c>
      <c r="E50" s="168">
        <v>8</v>
      </c>
      <c r="F50" s="245" t="s">
        <v>573</v>
      </c>
      <c r="G50" s="168"/>
      <c r="H50" s="171"/>
      <c r="I50" s="327">
        <v>8</v>
      </c>
      <c r="J50" s="323">
        <f t="shared" si="2"/>
        <v>0.32</v>
      </c>
    </row>
    <row r="51" spans="1:10" x14ac:dyDescent="0.3">
      <c r="A51" s="168">
        <v>60</v>
      </c>
      <c r="B51" s="225" t="s">
        <v>684</v>
      </c>
      <c r="C51" s="168" t="s">
        <v>106</v>
      </c>
      <c r="D51" s="323">
        <v>7.0000000000000007E-2</v>
      </c>
      <c r="E51" s="168">
        <v>8</v>
      </c>
      <c r="F51" s="245" t="s">
        <v>573</v>
      </c>
      <c r="G51" s="168">
        <v>15</v>
      </c>
      <c r="H51" s="171" t="s">
        <v>573</v>
      </c>
      <c r="I51" s="327">
        <v>1</v>
      </c>
      <c r="J51" s="323">
        <f t="shared" si="2"/>
        <v>7.0000000000000007E-2</v>
      </c>
    </row>
    <row r="52" spans="1:10" s="178" customFormat="1" x14ac:dyDescent="0.3">
      <c r="I52" s="321" t="s">
        <v>547</v>
      </c>
      <c r="J52" s="320">
        <f>SUM(J46:J51)</f>
        <v>35.349999999999994</v>
      </c>
    </row>
    <row r="54" spans="1:10" x14ac:dyDescent="0.3">
      <c r="A54" s="324" t="s">
        <v>544</v>
      </c>
      <c r="B54" s="324" t="s">
        <v>6</v>
      </c>
      <c r="C54" s="324" t="s">
        <v>549</v>
      </c>
      <c r="D54" s="324" t="s">
        <v>550</v>
      </c>
      <c r="E54" s="324" t="s">
        <v>551</v>
      </c>
      <c r="F54" s="324" t="s">
        <v>28</v>
      </c>
      <c r="G54" s="324" t="s">
        <v>691</v>
      </c>
      <c r="H54" s="324" t="s">
        <v>736</v>
      </c>
      <c r="I54" s="324" t="s">
        <v>547</v>
      </c>
    </row>
    <row r="55" spans="1:10" x14ac:dyDescent="0.3">
      <c r="A55" s="168">
        <v>10</v>
      </c>
      <c r="B55" s="179" t="s">
        <v>693</v>
      </c>
      <c r="C55" s="168"/>
      <c r="D55" s="170">
        <v>500</v>
      </c>
      <c r="E55" s="168"/>
      <c r="F55" s="168">
        <v>14</v>
      </c>
      <c r="G55" s="168">
        <v>3000</v>
      </c>
      <c r="H55" s="168">
        <v>1</v>
      </c>
      <c r="I55" s="223">
        <f>D55*F55/G55*H55</f>
        <v>2.3333333333333335</v>
      </c>
    </row>
    <row r="56" spans="1:10" x14ac:dyDescent="0.3">
      <c r="A56" s="178"/>
      <c r="B56" s="178"/>
      <c r="C56" s="178"/>
      <c r="D56" s="178"/>
      <c r="E56" s="178"/>
      <c r="F56" s="178"/>
      <c r="G56" s="178"/>
      <c r="H56" s="321" t="s">
        <v>547</v>
      </c>
      <c r="I56" s="320">
        <f>SUM(I55:I55)</f>
        <v>2.3333333333333335</v>
      </c>
    </row>
  </sheetData>
  <pageMargins left="0.5" right="0.5" top="0.75" bottom="0.75" header="0.3" footer="0.3"/>
  <pageSetup paperSize="9" scale="59" orientation="landscape"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P40"/>
  <sheetViews>
    <sheetView showGridLines="0" workbookViewId="0"/>
  </sheetViews>
  <sheetFormatPr defaultColWidth="9.109375" defaultRowHeight="14.4" x14ac:dyDescent="0.3"/>
  <cols>
    <col min="1" max="1" width="12.88671875" style="161" customWidth="1"/>
    <col min="2" max="2" width="26.109375" style="161" customWidth="1"/>
    <col min="3" max="3" width="24.5546875" style="161" customWidth="1"/>
    <col min="4" max="4" width="13.5546875" style="161" bestFit="1" customWidth="1"/>
    <col min="5" max="5" width="8.33203125" style="161" customWidth="1"/>
    <col min="6" max="6" width="10.109375" style="161" customWidth="1"/>
    <col min="7" max="7" width="15.6640625" style="161" customWidth="1"/>
    <col min="8" max="8" width="12.44140625" style="161" bestFit="1" customWidth="1"/>
    <col min="9" max="9" width="13" style="161" customWidth="1"/>
    <col min="10" max="10" width="11.88671875" style="161" customWidth="1"/>
    <col min="11" max="11" width="9.33203125" style="161" customWidth="1"/>
    <col min="12" max="12" width="10.33203125" style="161" customWidth="1"/>
    <col min="13" max="13" width="17.88671875" style="161" customWidth="1"/>
    <col min="14" max="14" width="14.66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N14+I31+J35+I39</f>
        <v>70.173858333333342</v>
      </c>
    </row>
    <row r="2" spans="1:14" x14ac:dyDescent="0.3">
      <c r="A2" s="342" t="s">
        <v>532</v>
      </c>
      <c r="B2" s="161" t="s">
        <v>780</v>
      </c>
      <c r="C2" s="359" t="s">
        <v>732</v>
      </c>
      <c r="D2" s="345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866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868</v>
      </c>
      <c r="D4" s="342" t="s">
        <v>541</v>
      </c>
      <c r="J4" s="342" t="s">
        <v>538</v>
      </c>
      <c r="M4" s="342" t="s">
        <v>539</v>
      </c>
      <c r="N4" s="336">
        <f>N1*N2</f>
        <v>70.173858333333342</v>
      </c>
    </row>
    <row r="5" spans="1:14" x14ac:dyDescent="0.3">
      <c r="A5" s="342" t="s">
        <v>537</v>
      </c>
      <c r="B5" s="166" t="s">
        <v>95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43.2" x14ac:dyDescent="0.3">
      <c r="A10" s="168">
        <v>10</v>
      </c>
      <c r="B10" s="256" t="s">
        <v>832</v>
      </c>
      <c r="C10" s="168" t="s">
        <v>892</v>
      </c>
      <c r="D10" s="323">
        <v>2.25</v>
      </c>
      <c r="E10" s="168">
        <v>1120</v>
      </c>
      <c r="F10" s="168" t="s">
        <v>573</v>
      </c>
      <c r="G10" s="168">
        <v>245</v>
      </c>
      <c r="H10" s="219" t="s">
        <v>573</v>
      </c>
      <c r="I10" s="269" t="s">
        <v>893</v>
      </c>
      <c r="J10" s="227">
        <f>E10*G10/1000000</f>
        <v>0.27439999999999998</v>
      </c>
      <c r="K10" s="227">
        <v>1.5E-3</v>
      </c>
      <c r="L10" s="219">
        <v>7800</v>
      </c>
      <c r="M10" s="339">
        <v>1</v>
      </c>
      <c r="N10" s="322">
        <f>IF(J10="",D10*M10,D10*J10*K10*L10*M10)</f>
        <v>7.2235799999999992</v>
      </c>
    </row>
    <row r="11" spans="1:14" ht="28.8" x14ac:dyDescent="0.3">
      <c r="A11" s="168">
        <v>20</v>
      </c>
      <c r="B11" s="225" t="s">
        <v>894</v>
      </c>
      <c r="C11" s="168" t="s">
        <v>895</v>
      </c>
      <c r="D11" s="323">
        <v>2.25</v>
      </c>
      <c r="E11" s="168">
        <v>38</v>
      </c>
      <c r="F11" s="168" t="s">
        <v>573</v>
      </c>
      <c r="G11" s="168"/>
      <c r="H11" s="219"/>
      <c r="I11" s="269" t="s">
        <v>896</v>
      </c>
      <c r="J11" s="227">
        <v>2.3900000000000001E-4</v>
      </c>
      <c r="K11" s="219">
        <v>0.1</v>
      </c>
      <c r="L11" s="219">
        <v>7800</v>
      </c>
      <c r="M11" s="339">
        <v>1</v>
      </c>
      <c r="N11" s="322">
        <f>IF(J11="",D11*M11,D11*J11*K11*L11*M11)</f>
        <v>0.41944500000000007</v>
      </c>
    </row>
    <row r="12" spans="1:14" ht="28.8" x14ac:dyDescent="0.3">
      <c r="A12" s="168">
        <v>30</v>
      </c>
      <c r="B12" s="225" t="s">
        <v>897</v>
      </c>
      <c r="C12" s="168"/>
      <c r="D12" s="377">
        <v>1.59</v>
      </c>
      <c r="E12" s="168">
        <v>14.2</v>
      </c>
      <c r="F12" s="168" t="s">
        <v>573</v>
      </c>
      <c r="G12" s="168"/>
      <c r="H12" s="219"/>
      <c r="I12" s="220"/>
      <c r="J12" s="228"/>
      <c r="K12" s="219"/>
      <c r="L12" s="219"/>
      <c r="M12" s="339">
        <v>3</v>
      </c>
      <c r="N12" s="322">
        <f>IF(J12="",D12*M12,D12*J12*K12*L12*M12)</f>
        <v>4.7700000000000005</v>
      </c>
    </row>
    <row r="13" spans="1:14" ht="28.8" x14ac:dyDescent="0.3">
      <c r="A13" s="168">
        <v>40</v>
      </c>
      <c r="B13" s="225" t="s">
        <v>898</v>
      </c>
      <c r="C13" s="168"/>
      <c r="D13" s="323">
        <v>7.2</v>
      </c>
      <c r="E13" s="168">
        <v>14.2</v>
      </c>
      <c r="F13" s="168" t="s">
        <v>573</v>
      </c>
      <c r="G13" s="168"/>
      <c r="H13" s="219"/>
      <c r="I13" s="220"/>
      <c r="J13" s="228"/>
      <c r="K13" s="219"/>
      <c r="L13" s="219"/>
      <c r="M13" s="339">
        <v>1</v>
      </c>
      <c r="N13" s="322">
        <f>IF(J13="",D13*M13,D13*J13*K13*L13*M13)</f>
        <v>7.2</v>
      </c>
    </row>
    <row r="14" spans="1:14" s="178" customFormat="1" x14ac:dyDescent="0.3">
      <c r="M14" s="338" t="s">
        <v>547</v>
      </c>
      <c r="N14" s="337">
        <f>SUM(N10:N13)</f>
        <v>19.613025</v>
      </c>
    </row>
    <row r="16" spans="1:14" s="178" customFormat="1" x14ac:dyDescent="0.3">
      <c r="A16" s="341" t="s">
        <v>544</v>
      </c>
      <c r="B16" s="341" t="s">
        <v>548</v>
      </c>
      <c r="C16" s="341" t="s">
        <v>549</v>
      </c>
      <c r="D16" s="341" t="s">
        <v>550</v>
      </c>
      <c r="E16" s="341" t="s">
        <v>551</v>
      </c>
      <c r="F16" s="341" t="s">
        <v>28</v>
      </c>
      <c r="G16" s="341" t="s">
        <v>552</v>
      </c>
      <c r="H16" s="341" t="s">
        <v>553</v>
      </c>
      <c r="I16" s="341" t="s">
        <v>547</v>
      </c>
    </row>
    <row r="17" spans="1:16" ht="28.8" x14ac:dyDescent="0.3">
      <c r="A17" s="168">
        <v>10</v>
      </c>
      <c r="B17" s="315" t="s">
        <v>589</v>
      </c>
      <c r="C17" s="171"/>
      <c r="D17" s="323">
        <v>1.3</v>
      </c>
      <c r="E17" s="168" t="s">
        <v>556</v>
      </c>
      <c r="F17" s="168">
        <v>1</v>
      </c>
      <c r="G17" s="168"/>
      <c r="H17" s="168"/>
      <c r="I17" s="323">
        <f>IF('EN 03001'!$H17&lt;&gt;"",'EN 03001'!$D17*'EN 03001'!$F17*'EN 03001'!$H17,'EN 03001'!$D17*'EN 03001'!$F17)</f>
        <v>1.3</v>
      </c>
    </row>
    <row r="18" spans="1:16" ht="28.8" x14ac:dyDescent="0.3">
      <c r="A18" s="168">
        <v>20</v>
      </c>
      <c r="B18" s="171" t="s">
        <v>700</v>
      </c>
      <c r="C18" s="171" t="s">
        <v>899</v>
      </c>
      <c r="D18" s="323">
        <v>0.01</v>
      </c>
      <c r="E18" s="168" t="s">
        <v>593</v>
      </c>
      <c r="F18" s="168">
        <v>50</v>
      </c>
      <c r="G18" s="180" t="s">
        <v>829</v>
      </c>
      <c r="H18" s="179">
        <v>3.75</v>
      </c>
      <c r="I18" s="323">
        <f>IF('EN 03001'!$H18&lt;&gt;"",'EN 03001'!$D18*'EN 03001'!$F18*'EN 03001'!$H18,'EN 03001'!$D18*'EN 03001'!$F18)</f>
        <v>1.875</v>
      </c>
    </row>
    <row r="19" spans="1:16" ht="28.8" x14ac:dyDescent="0.3">
      <c r="A19" s="168">
        <v>30</v>
      </c>
      <c r="B19" s="315" t="s">
        <v>589</v>
      </c>
      <c r="C19" s="171"/>
      <c r="D19" s="323">
        <v>1.3</v>
      </c>
      <c r="E19" s="168" t="s">
        <v>556</v>
      </c>
      <c r="F19" s="168">
        <v>1</v>
      </c>
      <c r="G19" s="168"/>
      <c r="H19" s="168"/>
      <c r="I19" s="323">
        <f>IF('EN 03001'!$H19&lt;&gt;"",'EN 03001'!$D19*'EN 03001'!$F19*'EN 03001'!$H19,'EN 03001'!$D19*'EN 03001'!$F19)</f>
        <v>1.3</v>
      </c>
    </row>
    <row r="20" spans="1:16" ht="28.8" x14ac:dyDescent="0.3">
      <c r="A20" s="168">
        <v>40</v>
      </c>
      <c r="B20" s="171" t="s">
        <v>700</v>
      </c>
      <c r="C20" s="171" t="s">
        <v>900</v>
      </c>
      <c r="D20" s="323">
        <v>0.01</v>
      </c>
      <c r="E20" s="168" t="s">
        <v>593</v>
      </c>
      <c r="F20" s="168">
        <v>131</v>
      </c>
      <c r="G20" s="180" t="s">
        <v>829</v>
      </c>
      <c r="H20" s="179">
        <v>3.75</v>
      </c>
      <c r="I20" s="323">
        <f>IF('EN 03001'!$H20&lt;&gt;"",'EN 03001'!$D20*'EN 03001'!$F20*'EN 03001'!$H20,'EN 03001'!$D20*'EN 03001'!$F20)</f>
        <v>4.9125000000000005</v>
      </c>
    </row>
    <row r="21" spans="1:16" ht="15" customHeight="1" x14ac:dyDescent="0.3">
      <c r="A21" s="168">
        <v>50</v>
      </c>
      <c r="B21" s="180" t="s">
        <v>702</v>
      </c>
      <c r="C21" s="171"/>
      <c r="D21" s="323">
        <v>0.25</v>
      </c>
      <c r="E21" s="168" t="s">
        <v>704</v>
      </c>
      <c r="F21" s="168">
        <v>4</v>
      </c>
      <c r="G21" s="168"/>
      <c r="H21" s="168"/>
      <c r="I21" s="323">
        <f>IF('EN 03001'!$H21&lt;&gt;"",'EN 03001'!$D21*'EN 03001'!$F21*'EN 03001'!$H21,'EN 03001'!$D21*'EN 03001'!$F21)</f>
        <v>1</v>
      </c>
    </row>
    <row r="22" spans="1:16" ht="28.8" x14ac:dyDescent="0.3">
      <c r="A22" s="168">
        <v>60</v>
      </c>
      <c r="B22" s="171" t="s">
        <v>700</v>
      </c>
      <c r="C22" s="171" t="s">
        <v>901</v>
      </c>
      <c r="D22" s="323">
        <v>0.01</v>
      </c>
      <c r="E22" s="168" t="s">
        <v>593</v>
      </c>
      <c r="F22" s="168">
        <v>60</v>
      </c>
      <c r="G22" s="180" t="s">
        <v>829</v>
      </c>
      <c r="H22" s="179">
        <v>3.75</v>
      </c>
      <c r="I22" s="323">
        <f>IF('EN 03001'!$H22&lt;&gt;"",'EN 03001'!$D22*'EN 03001'!$F22*'EN 03001'!$H22,'EN 03001'!$D22*'EN 03001'!$F22)</f>
        <v>2.25</v>
      </c>
    </row>
    <row r="23" spans="1:16" x14ac:dyDescent="0.3">
      <c r="A23" s="168">
        <v>70</v>
      </c>
      <c r="B23" s="315" t="s">
        <v>650</v>
      </c>
      <c r="C23" s="171" t="s">
        <v>902</v>
      </c>
      <c r="D23" s="243">
        <v>0.15</v>
      </c>
      <c r="E23" s="378" t="s">
        <v>593</v>
      </c>
      <c r="F23" s="168">
        <v>180</v>
      </c>
      <c r="G23" s="168"/>
      <c r="H23" s="168"/>
      <c r="I23" s="323">
        <f>IF('EN 03001'!$H23&lt;&gt;"",'EN 03001'!$D23*'EN 03001'!$F23*'EN 03001'!$H23,'EN 03001'!$D23*'EN 03001'!$F23)</f>
        <v>27</v>
      </c>
    </row>
    <row r="24" spans="1:16" x14ac:dyDescent="0.3">
      <c r="A24" s="168">
        <v>80</v>
      </c>
      <c r="B24" s="171" t="s">
        <v>650</v>
      </c>
      <c r="C24" s="171" t="s">
        <v>903</v>
      </c>
      <c r="D24" s="323">
        <v>0.15</v>
      </c>
      <c r="E24" s="168" t="s">
        <v>593</v>
      </c>
      <c r="F24" s="168">
        <v>3</v>
      </c>
      <c r="G24" s="168"/>
      <c r="H24" s="168"/>
      <c r="I24" s="323">
        <f>IF('EN 03001'!$H24&lt;&gt;"",'EN 03001'!$D24*'EN 03001'!$F24*'EN 03001'!$H24,'EN 03001'!$D24*'EN 03001'!$F24)</f>
        <v>0.44999999999999996</v>
      </c>
      <c r="P24" s="379"/>
    </row>
    <row r="25" spans="1:16" x14ac:dyDescent="0.3">
      <c r="A25" s="168">
        <v>90</v>
      </c>
      <c r="B25" s="180" t="s">
        <v>668</v>
      </c>
      <c r="C25" s="168" t="s">
        <v>904</v>
      </c>
      <c r="D25" s="243">
        <v>0.15</v>
      </c>
      <c r="E25" s="180" t="s">
        <v>593</v>
      </c>
      <c r="F25" s="168">
        <v>4</v>
      </c>
      <c r="G25" s="168"/>
      <c r="H25" s="168"/>
      <c r="I25" s="323">
        <f>IF('EN 03001'!$H25&lt;&gt;"",'EN 03001'!$D25*'EN 03001'!$F25*'EN 03001'!$H25,'EN 03001'!$D25*'EN 03001'!$F25)</f>
        <v>0.6</v>
      </c>
    </row>
    <row r="26" spans="1:16" ht="30" customHeight="1" x14ac:dyDescent="0.3">
      <c r="A26" s="168">
        <v>100</v>
      </c>
      <c r="B26" s="180" t="s">
        <v>836</v>
      </c>
      <c r="C26" s="168" t="s">
        <v>895</v>
      </c>
      <c r="D26" s="243">
        <v>0.75</v>
      </c>
      <c r="E26" s="180" t="s">
        <v>837</v>
      </c>
      <c r="F26" s="168">
        <v>1</v>
      </c>
      <c r="G26" s="168"/>
      <c r="H26" s="168"/>
      <c r="I26" s="323">
        <f>IF('EN 03001'!$H26&lt;&gt;"",'EN 03001'!$D26*'EN 03001'!$F26*'EN 03001'!$H26,'EN 03001'!$D26*'EN 03001'!$F26)</f>
        <v>0.75</v>
      </c>
    </row>
    <row r="27" spans="1:16" ht="15" customHeight="1" x14ac:dyDescent="0.3">
      <c r="A27" s="168">
        <v>110</v>
      </c>
      <c r="B27" s="180" t="s">
        <v>838</v>
      </c>
      <c r="C27" s="168" t="s">
        <v>905</v>
      </c>
      <c r="D27" s="243">
        <v>0.38</v>
      </c>
      <c r="E27" s="180" t="s">
        <v>593</v>
      </c>
      <c r="F27" s="168">
        <v>1</v>
      </c>
      <c r="G27" s="168"/>
      <c r="H27" s="168"/>
      <c r="I27" s="323">
        <f>IF('EN 03001'!$H27&lt;&gt;"",'EN 03001'!$D27*'EN 03001'!$F27*'EN 03001'!$H27,'EN 03001'!$D27*'EN 03001'!$F27)</f>
        <v>0.38</v>
      </c>
    </row>
    <row r="28" spans="1:16" x14ac:dyDescent="0.3">
      <c r="A28" s="168">
        <v>120</v>
      </c>
      <c r="B28" s="171" t="s">
        <v>700</v>
      </c>
      <c r="C28" s="171" t="s">
        <v>141</v>
      </c>
      <c r="D28" s="323">
        <v>0.01</v>
      </c>
      <c r="E28" s="168" t="s">
        <v>593</v>
      </c>
      <c r="F28" s="168">
        <v>52</v>
      </c>
      <c r="G28" s="168"/>
      <c r="H28" s="168"/>
      <c r="I28" s="323">
        <f>IF('EN 03001'!$H28&lt;&gt;"",'EN 03001'!$D28*'EN 03001'!$F28*'EN 03001'!$H28,'EN 03001'!$D28*'EN 03001'!$F28)</f>
        <v>0.52</v>
      </c>
    </row>
    <row r="29" spans="1:16" x14ac:dyDescent="0.3">
      <c r="A29" s="168">
        <v>130</v>
      </c>
      <c r="B29" s="171" t="s">
        <v>650</v>
      </c>
      <c r="C29" s="171" t="s">
        <v>906</v>
      </c>
      <c r="D29" s="323">
        <v>0.15</v>
      </c>
      <c r="E29" s="168" t="s">
        <v>593</v>
      </c>
      <c r="F29" s="168">
        <v>18</v>
      </c>
      <c r="G29" s="168"/>
      <c r="H29" s="168"/>
      <c r="I29" s="323">
        <f>IF('EN 03001'!$H29&lt;&gt;"",'EN 03001'!$D29*'EN 03001'!$F29*'EN 03001'!$H29,'EN 03001'!$D29*'EN 03001'!$F29)</f>
        <v>2.6999999999999997</v>
      </c>
    </row>
    <row r="30" spans="1:16" ht="15" customHeight="1" x14ac:dyDescent="0.3">
      <c r="A30" s="168">
        <v>140</v>
      </c>
      <c r="B30" s="180" t="s">
        <v>749</v>
      </c>
      <c r="C30" s="171" t="s">
        <v>907</v>
      </c>
      <c r="D30" s="323">
        <v>0.13</v>
      </c>
      <c r="E30" s="168" t="s">
        <v>556</v>
      </c>
      <c r="F30" s="168">
        <v>1</v>
      </c>
      <c r="G30" s="168"/>
      <c r="H30" s="168"/>
      <c r="I30" s="323">
        <f>IF('EN 03001'!$H30&lt;&gt;"",'EN 03001'!$D30*'EN 03001'!$F30*'EN 03001'!$H30,'EN 03001'!$D30*'EN 03001'!$F30)</f>
        <v>0.13</v>
      </c>
    </row>
    <row r="31" spans="1:16" s="178" customFormat="1" x14ac:dyDescent="0.3">
      <c r="H31" s="344" t="s">
        <v>547</v>
      </c>
      <c r="I31" s="337">
        <f>SUM(I17:I30)</f>
        <v>45.167500000000018</v>
      </c>
    </row>
    <row r="33" spans="1:10" s="178" customFormat="1" x14ac:dyDescent="0.3">
      <c r="A33" s="341" t="s">
        <v>544</v>
      </c>
      <c r="B33" s="341" t="s">
        <v>566</v>
      </c>
      <c r="C33" s="341" t="s">
        <v>549</v>
      </c>
      <c r="D33" s="341" t="s">
        <v>550</v>
      </c>
      <c r="E33" s="341" t="s">
        <v>567</v>
      </c>
      <c r="F33" s="341" t="s">
        <v>568</v>
      </c>
      <c r="G33" s="341" t="s">
        <v>569</v>
      </c>
      <c r="H33" s="341" t="s">
        <v>570</v>
      </c>
      <c r="I33" s="341" t="s">
        <v>28</v>
      </c>
      <c r="J33" s="341" t="s">
        <v>547</v>
      </c>
    </row>
    <row r="34" spans="1:10" ht="15" customHeight="1" x14ac:dyDescent="0.3">
      <c r="A34" s="168">
        <v>10</v>
      </c>
      <c r="B34" s="356" t="s">
        <v>618</v>
      </c>
      <c r="C34" s="168" t="s">
        <v>908</v>
      </c>
      <c r="D34" s="168">
        <v>0.03</v>
      </c>
      <c r="E34" s="168">
        <v>6</v>
      </c>
      <c r="F34" s="245" t="s">
        <v>573</v>
      </c>
      <c r="G34" s="168"/>
      <c r="H34" s="171"/>
      <c r="I34" s="327">
        <v>2</v>
      </c>
      <c r="J34" s="323">
        <f>D34*I34</f>
        <v>0.06</v>
      </c>
    </row>
    <row r="35" spans="1:10" s="178" customFormat="1" x14ac:dyDescent="0.3">
      <c r="I35" s="338" t="s">
        <v>547</v>
      </c>
      <c r="J35" s="337">
        <f>SUM(J34:J34)</f>
        <v>0.06</v>
      </c>
    </row>
    <row r="36" spans="1:10" x14ac:dyDescent="0.3">
      <c r="H36" s="326"/>
      <c r="I36" s="325"/>
    </row>
    <row r="37" spans="1:10" s="178" customFormat="1" x14ac:dyDescent="0.3">
      <c r="A37" s="341" t="s">
        <v>544</v>
      </c>
      <c r="B37" s="341" t="s">
        <v>6</v>
      </c>
      <c r="C37" s="341" t="s">
        <v>549</v>
      </c>
      <c r="D37" s="341" t="s">
        <v>550</v>
      </c>
      <c r="E37" s="341" t="s">
        <v>551</v>
      </c>
      <c r="F37" s="341" t="s">
        <v>28</v>
      </c>
      <c r="G37" s="341" t="s">
        <v>691</v>
      </c>
      <c r="H37" s="341" t="s">
        <v>692</v>
      </c>
      <c r="I37" s="341" t="s">
        <v>547</v>
      </c>
    </row>
    <row r="38" spans="1:10" x14ac:dyDescent="0.3">
      <c r="A38" s="168">
        <v>10</v>
      </c>
      <c r="B38" s="168" t="s">
        <v>693</v>
      </c>
      <c r="C38" s="168"/>
      <c r="D38" s="323">
        <v>500</v>
      </c>
      <c r="E38" s="168" t="s">
        <v>695</v>
      </c>
      <c r="F38" s="168">
        <v>32</v>
      </c>
      <c r="G38" s="168">
        <v>3000</v>
      </c>
      <c r="H38" s="168">
        <v>1</v>
      </c>
      <c r="I38" s="323">
        <f>IF('EN 03001'!$G38&lt;&gt;"",D38*F38/G38*H38,"")</f>
        <v>5.333333333333333</v>
      </c>
    </row>
    <row r="39" spans="1:10" s="178" customFormat="1" x14ac:dyDescent="0.3">
      <c r="H39" s="338" t="s">
        <v>547</v>
      </c>
      <c r="I39" s="337">
        <f>SUM(I38:I38)</f>
        <v>5.333333333333333</v>
      </c>
    </row>
    <row r="40" spans="1:10" x14ac:dyDescent="0.3">
      <c r="H40" s="326"/>
      <c r="I40" s="325"/>
    </row>
  </sheetData>
  <hyperlinks>
    <hyperlink ref="D2" location="'Fuel tank drawing'!A1" display="FileLink1"/>
  </hyperlinks>
  <pageMargins left="0.5" right="0.5" top="0.75" bottom="0.75" header="0.3" footer="0.3"/>
  <pageSetup paperSize="9" scale="66" orientation="landscape"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2.5546875" style="161" customWidth="1"/>
    <col min="2" max="2" width="26.6640625" style="161" customWidth="1"/>
    <col min="3" max="3" width="18.109375" style="161" customWidth="1"/>
    <col min="4" max="5" width="11.109375" style="161" customWidth="1"/>
    <col min="6" max="6" width="10.6640625" style="161" customWidth="1"/>
    <col min="7" max="7" width="19" style="161" customWidth="1"/>
    <col min="8" max="8" width="11.6640625" style="161" customWidth="1"/>
    <col min="9" max="9" width="17.664062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441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N13+I23+J27+I31</f>
        <v>15.366058246666665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866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98</v>
      </c>
      <c r="D4" s="342" t="s">
        <v>541</v>
      </c>
      <c r="J4" s="342" t="s">
        <v>538</v>
      </c>
      <c r="M4" s="342" t="s">
        <v>539</v>
      </c>
      <c r="N4" s="336">
        <f>N1*N2</f>
        <v>15.366058246666665</v>
      </c>
    </row>
    <row r="5" spans="1:14" x14ac:dyDescent="0.3">
      <c r="A5" s="342" t="s">
        <v>537</v>
      </c>
      <c r="B5" s="166" t="s">
        <v>97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225" t="s">
        <v>720</v>
      </c>
      <c r="C10" s="168" t="s">
        <v>909</v>
      </c>
      <c r="D10" s="323">
        <v>4.2</v>
      </c>
      <c r="E10" s="168"/>
      <c r="F10" s="168"/>
      <c r="G10" s="168"/>
      <c r="H10" s="219"/>
      <c r="I10" s="269" t="s">
        <v>896</v>
      </c>
      <c r="J10" s="227">
        <f>238.76/1000000</f>
        <v>2.3876E-4</v>
      </c>
      <c r="K10" s="219">
        <v>0.25</v>
      </c>
      <c r="L10" s="219">
        <v>2710</v>
      </c>
      <c r="M10" s="339">
        <v>1</v>
      </c>
      <c r="N10" s="322">
        <f>IF(J10="",D10*M10,D10*J10*K10*L10*M10)</f>
        <v>0.67939157999999999</v>
      </c>
    </row>
    <row r="11" spans="1:14" ht="43.2" x14ac:dyDescent="0.3">
      <c r="A11" s="168">
        <v>20</v>
      </c>
      <c r="B11" s="256" t="s">
        <v>910</v>
      </c>
      <c r="C11" s="168"/>
      <c r="D11" s="323">
        <v>3.72</v>
      </c>
      <c r="E11" s="168">
        <v>6</v>
      </c>
      <c r="F11" s="168" t="s">
        <v>573</v>
      </c>
      <c r="G11" s="168">
        <v>6</v>
      </c>
      <c r="H11" s="219" t="s">
        <v>573</v>
      </c>
      <c r="I11" s="220"/>
      <c r="J11" s="221"/>
      <c r="K11" s="219"/>
      <c r="L11" s="219"/>
      <c r="M11" s="339">
        <v>2</v>
      </c>
      <c r="N11" s="322">
        <f>IF(J11="",D11*M11,D11*J11*K11*L11*M11)</f>
        <v>7.44</v>
      </c>
    </row>
    <row r="12" spans="1:14" x14ac:dyDescent="0.3">
      <c r="A12" s="168">
        <v>30</v>
      </c>
      <c r="B12" s="225" t="s">
        <v>870</v>
      </c>
      <c r="C12" s="168" t="s">
        <v>911</v>
      </c>
      <c r="D12" s="323">
        <v>0.28999999999999998</v>
      </c>
      <c r="E12" s="168">
        <v>6</v>
      </c>
      <c r="F12" s="168" t="s">
        <v>573</v>
      </c>
      <c r="G12" s="168">
        <v>100</v>
      </c>
      <c r="H12" s="219" t="s">
        <v>573</v>
      </c>
      <c r="I12" s="331"/>
      <c r="J12" s="221"/>
      <c r="K12" s="219"/>
      <c r="L12" s="227"/>
      <c r="M12" s="339">
        <v>1</v>
      </c>
      <c r="N12" s="322">
        <f>IF(J12="",D12*M12,D12*J12*K12*L12*M12)</f>
        <v>0.28999999999999998</v>
      </c>
    </row>
    <row r="13" spans="1:14" s="178" customFormat="1" x14ac:dyDescent="0.3">
      <c r="M13" s="338" t="s">
        <v>547</v>
      </c>
      <c r="N13" s="337">
        <f>SUM(N10:N12)</f>
        <v>8.4093915799999994</v>
      </c>
    </row>
    <row r="15" spans="1:14" s="178" customFormat="1" x14ac:dyDescent="0.3">
      <c r="A15" s="341" t="s">
        <v>544</v>
      </c>
      <c r="B15" s="341" t="s">
        <v>548</v>
      </c>
      <c r="C15" s="341" t="s">
        <v>549</v>
      </c>
      <c r="D15" s="341" t="s">
        <v>550</v>
      </c>
      <c r="E15" s="341" t="s">
        <v>551</v>
      </c>
      <c r="F15" s="341" t="s">
        <v>28</v>
      </c>
      <c r="G15" s="341" t="s">
        <v>552</v>
      </c>
      <c r="H15" s="341" t="s">
        <v>553</v>
      </c>
      <c r="I15" s="341" t="s">
        <v>547</v>
      </c>
    </row>
    <row r="16" spans="1:14" x14ac:dyDescent="0.3">
      <c r="A16" s="168">
        <v>10</v>
      </c>
      <c r="B16" s="180" t="s">
        <v>863</v>
      </c>
      <c r="C16" s="171"/>
      <c r="D16" s="323">
        <v>0.4</v>
      </c>
      <c r="E16" s="168" t="s">
        <v>593</v>
      </c>
      <c r="F16" s="168">
        <v>4</v>
      </c>
      <c r="G16" s="168"/>
      <c r="H16" s="168"/>
      <c r="I16" s="323">
        <f>IF('EN 03002'!$H16&lt;&gt;"",'EN 03002'!$D16*'EN 03002'!$F16*'EN 03002'!$H16,'EN 03002'!$D16*'EN 03002'!$F16)</f>
        <v>1.6</v>
      </c>
    </row>
    <row r="17" spans="1:10" ht="28.8" x14ac:dyDescent="0.3">
      <c r="A17" s="168">
        <v>20</v>
      </c>
      <c r="B17" s="180" t="s">
        <v>589</v>
      </c>
      <c r="C17" s="171"/>
      <c r="D17" s="323">
        <v>1.3</v>
      </c>
      <c r="E17" s="168" t="s">
        <v>556</v>
      </c>
      <c r="F17" s="168">
        <v>1</v>
      </c>
      <c r="G17" s="180"/>
      <c r="H17" s="179"/>
      <c r="I17" s="323">
        <f>IF('EN 03002'!$H17&lt;&gt;"",'EN 03002'!$D17*'EN 03002'!$F17*'EN 03002'!$H17,'EN 03002'!$D17*'EN 03002'!$F17)</f>
        <v>1.3</v>
      </c>
    </row>
    <row r="18" spans="1:10" x14ac:dyDescent="0.3">
      <c r="A18" s="168">
        <v>30</v>
      </c>
      <c r="B18" s="168" t="s">
        <v>609</v>
      </c>
      <c r="C18" s="168"/>
      <c r="D18" s="323">
        <v>0.04</v>
      </c>
      <c r="E18" s="168" t="s">
        <v>610</v>
      </c>
      <c r="F18" s="168">
        <v>10</v>
      </c>
      <c r="G18" s="180" t="s">
        <v>723</v>
      </c>
      <c r="H18" s="168">
        <v>1</v>
      </c>
      <c r="I18" s="323">
        <f>IF('EN 03002'!$H18&lt;&gt;"",'EN 03002'!$D18*'EN 03002'!$F18*'EN 03002'!$H18,'EN 03002'!$D18*'EN 03002'!$F18)</f>
        <v>0.4</v>
      </c>
    </row>
    <row r="19" spans="1:10" ht="28.8" x14ac:dyDescent="0.3">
      <c r="A19" s="168">
        <v>40</v>
      </c>
      <c r="B19" s="180" t="s">
        <v>788</v>
      </c>
      <c r="C19" s="171" t="s">
        <v>912</v>
      </c>
      <c r="D19" s="323">
        <v>0.1</v>
      </c>
      <c r="E19" s="168" t="s">
        <v>593</v>
      </c>
      <c r="F19" s="168">
        <v>1</v>
      </c>
      <c r="G19" s="180"/>
      <c r="H19" s="179"/>
      <c r="I19" s="323">
        <f>IF('EN 03002'!$H19&lt;&gt;"",'EN 03002'!$D19*'EN 03002'!$F19*'EN 03002'!$H19,'EN 03002'!$D19*'EN 03002'!$F19)</f>
        <v>0.1</v>
      </c>
    </row>
    <row r="20" spans="1:10" ht="28.95" customHeight="1" x14ac:dyDescent="0.3">
      <c r="A20" s="168">
        <v>50</v>
      </c>
      <c r="B20" s="171" t="s">
        <v>650</v>
      </c>
      <c r="C20" s="193" t="s">
        <v>913</v>
      </c>
      <c r="D20" s="323">
        <v>0.15</v>
      </c>
      <c r="E20" s="168" t="s">
        <v>593</v>
      </c>
      <c r="F20" s="168">
        <v>4</v>
      </c>
      <c r="G20" s="168"/>
      <c r="H20" s="168"/>
      <c r="I20" s="323">
        <f>IF('EN 03002'!$H20&lt;&gt;"",'EN 03002'!$D20*'EN 03002'!$F20*'EN 03002'!$H20,'EN 03002'!$D20*'EN 03002'!$F20)</f>
        <v>0.6</v>
      </c>
    </row>
    <row r="21" spans="1:10" x14ac:dyDescent="0.3">
      <c r="A21" s="168">
        <v>60</v>
      </c>
      <c r="B21" s="315" t="s">
        <v>760</v>
      </c>
      <c r="C21" s="171" t="s">
        <v>914</v>
      </c>
      <c r="D21" s="323">
        <v>0.19</v>
      </c>
      <c r="E21" s="168" t="s">
        <v>556</v>
      </c>
      <c r="F21" s="168">
        <v>1</v>
      </c>
      <c r="G21" s="168"/>
      <c r="H21" s="168"/>
      <c r="I21" s="323">
        <f>IF('EN 03002'!$H21&lt;&gt;"",'EN 03002'!$D21*'EN 03002'!$F21*'EN 03002'!$H21,'EN 03002'!$D21*'EN 03002'!$F21)</f>
        <v>0.19</v>
      </c>
    </row>
    <row r="22" spans="1:10" x14ac:dyDescent="0.3">
      <c r="A22" s="168">
        <v>70</v>
      </c>
      <c r="B22" s="180" t="s">
        <v>680</v>
      </c>
      <c r="C22" s="171" t="s">
        <v>882</v>
      </c>
      <c r="D22" s="323">
        <v>0.5</v>
      </c>
      <c r="E22" s="168" t="s">
        <v>556</v>
      </c>
      <c r="F22" s="168">
        <v>2</v>
      </c>
      <c r="G22" s="168"/>
      <c r="H22" s="168"/>
      <c r="I22" s="323">
        <f>IF('EN 03002'!$H22&lt;&gt;"",'EN 03002'!$D22*'EN 03002'!$F22*'EN 03002'!$H22,'EN 03002'!$D22*'EN 03002'!$F22)</f>
        <v>1</v>
      </c>
    </row>
    <row r="23" spans="1:10" s="178" customFormat="1" x14ac:dyDescent="0.3">
      <c r="H23" s="338" t="s">
        <v>547</v>
      </c>
      <c r="I23" s="337">
        <f>SUM(I16:I22)</f>
        <v>5.19</v>
      </c>
    </row>
    <row r="25" spans="1:10" s="178" customFormat="1" x14ac:dyDescent="0.3">
      <c r="A25" s="341" t="s">
        <v>544</v>
      </c>
      <c r="B25" s="341" t="s">
        <v>566</v>
      </c>
      <c r="C25" s="341" t="s">
        <v>549</v>
      </c>
      <c r="D25" s="341" t="s">
        <v>550</v>
      </c>
      <c r="E25" s="341" t="s">
        <v>567</v>
      </c>
      <c r="F25" s="341" t="s">
        <v>568</v>
      </c>
      <c r="G25" s="341" t="s">
        <v>569</v>
      </c>
      <c r="H25" s="341" t="s">
        <v>570</v>
      </c>
      <c r="I25" s="341" t="s">
        <v>28</v>
      </c>
      <c r="J25" s="341" t="s">
        <v>547</v>
      </c>
    </row>
    <row r="26" spans="1:10" x14ac:dyDescent="0.3">
      <c r="A26" s="168">
        <v>10</v>
      </c>
      <c r="B26" s="225" t="s">
        <v>688</v>
      </c>
      <c r="C26" s="168"/>
      <c r="D26" s="168">
        <v>0.55000000000000004</v>
      </c>
      <c r="E26" s="168">
        <v>12</v>
      </c>
      <c r="F26" s="245" t="s">
        <v>573</v>
      </c>
      <c r="G26" s="168"/>
      <c r="H26" s="171"/>
      <c r="I26" s="327">
        <v>2</v>
      </c>
      <c r="J26" s="323">
        <f>D26*I26</f>
        <v>1.1000000000000001</v>
      </c>
    </row>
    <row r="27" spans="1:10" s="178" customFormat="1" x14ac:dyDescent="0.3">
      <c r="I27" s="338" t="s">
        <v>547</v>
      </c>
      <c r="J27" s="337">
        <f>SUM(J26:J26)</f>
        <v>1.1000000000000001</v>
      </c>
    </row>
    <row r="28" spans="1:10" x14ac:dyDescent="0.3">
      <c r="H28" s="326"/>
      <c r="I28" s="325"/>
    </row>
    <row r="29" spans="1:10" s="178" customFormat="1" x14ac:dyDescent="0.3">
      <c r="A29" s="341" t="s">
        <v>544</v>
      </c>
      <c r="B29" s="341" t="s">
        <v>6</v>
      </c>
      <c r="C29" s="341" t="s">
        <v>549</v>
      </c>
      <c r="D29" s="341" t="s">
        <v>550</v>
      </c>
      <c r="E29" s="341" t="s">
        <v>551</v>
      </c>
      <c r="F29" s="341" t="s">
        <v>28</v>
      </c>
      <c r="G29" s="341" t="s">
        <v>691</v>
      </c>
      <c r="H29" s="341" t="s">
        <v>692</v>
      </c>
      <c r="I29" s="341" t="s">
        <v>547</v>
      </c>
    </row>
    <row r="30" spans="1:10" x14ac:dyDescent="0.3">
      <c r="A30" s="168">
        <v>10</v>
      </c>
      <c r="B30" s="168" t="s">
        <v>693</v>
      </c>
      <c r="C30" s="168"/>
      <c r="D30" s="323">
        <v>500</v>
      </c>
      <c r="E30" s="168" t="s">
        <v>695</v>
      </c>
      <c r="F30" s="168">
        <v>4</v>
      </c>
      <c r="G30" s="168">
        <v>3000</v>
      </c>
      <c r="H30" s="168">
        <v>1</v>
      </c>
      <c r="I30" s="323">
        <f>IF('EN 03002'!$G30&lt;&gt;"",D30*F30/G30*H30,"")</f>
        <v>0.66666666666666663</v>
      </c>
    </row>
    <row r="31" spans="1:10" s="178" customFormat="1" x14ac:dyDescent="0.3">
      <c r="H31" s="338" t="s">
        <v>547</v>
      </c>
      <c r="I31" s="337">
        <f>SUM(I30:I30)</f>
        <v>0.66666666666666663</v>
      </c>
    </row>
    <row r="32" spans="1:10" x14ac:dyDescent="0.3">
      <c r="H32" s="326"/>
      <c r="I32" s="325"/>
    </row>
  </sheetData>
  <pageMargins left="0.5" right="0.5" top="0.75" bottom="0.75" header="0.3" footer="0.3"/>
  <pageSetup paperSize="9" scale="65" orientation="landscape"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0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2.33203125" style="161" customWidth="1"/>
    <col min="3" max="3" width="19.4414062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2.55468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N12+I20</f>
        <v>11.845227571092115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866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100</v>
      </c>
      <c r="D4" s="342" t="s">
        <v>541</v>
      </c>
      <c r="J4" s="342" t="s">
        <v>538</v>
      </c>
      <c r="M4" s="342" t="s">
        <v>539</v>
      </c>
      <c r="N4" s="336">
        <f>N1*N2</f>
        <v>11.845227571092115</v>
      </c>
    </row>
    <row r="5" spans="1:14" x14ac:dyDescent="0.3">
      <c r="A5" s="342" t="s">
        <v>537</v>
      </c>
      <c r="B5" s="166" t="s">
        <v>99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225" t="s">
        <v>720</v>
      </c>
      <c r="C10" s="168" t="s">
        <v>915</v>
      </c>
      <c r="D10" s="323">
        <v>4.2</v>
      </c>
      <c r="E10" s="168">
        <v>50</v>
      </c>
      <c r="F10" s="168" t="s">
        <v>573</v>
      </c>
      <c r="G10" s="168"/>
      <c r="H10" s="219"/>
      <c r="I10" s="220" t="s">
        <v>916</v>
      </c>
      <c r="J10" s="227">
        <f>PI()*(50*50)/4000000</f>
        <v>1.9634954084936209E-3</v>
      </c>
      <c r="K10" s="227">
        <v>1.4999999999999999E-2</v>
      </c>
      <c r="L10" s="219">
        <v>2710</v>
      </c>
      <c r="M10" s="339">
        <v>1</v>
      </c>
      <c r="N10" s="322">
        <f>IF(J10="",D10*M10,D10*J10*K10*L10*M10)</f>
        <v>0.33522757109211587</v>
      </c>
    </row>
    <row r="11" spans="1:14" x14ac:dyDescent="0.3">
      <c r="A11" s="168">
        <v>20</v>
      </c>
      <c r="B11" s="168" t="s">
        <v>917</v>
      </c>
      <c r="C11" s="168"/>
      <c r="D11" s="323">
        <v>8</v>
      </c>
      <c r="E11" s="168"/>
      <c r="F11" s="168"/>
      <c r="G11" s="168"/>
      <c r="H11" s="219"/>
      <c r="I11" s="220"/>
      <c r="J11" s="380"/>
      <c r="K11" s="228"/>
      <c r="L11" s="219"/>
      <c r="M11" s="339">
        <v>1</v>
      </c>
      <c r="N11" s="322">
        <f>M11*D11</f>
        <v>8</v>
      </c>
    </row>
    <row r="12" spans="1:14" s="178" customFormat="1" x14ac:dyDescent="0.3">
      <c r="M12" s="338" t="s">
        <v>547</v>
      </c>
      <c r="N12" s="337">
        <f>SUM(N10:N11)</f>
        <v>8.3352275710921155</v>
      </c>
    </row>
    <row r="14" spans="1:14" s="178" customFormat="1" x14ac:dyDescent="0.3">
      <c r="A14" s="341" t="s">
        <v>544</v>
      </c>
      <c r="B14" s="341" t="s">
        <v>548</v>
      </c>
      <c r="C14" s="341" t="s">
        <v>549</v>
      </c>
      <c r="D14" s="341" t="s">
        <v>550</v>
      </c>
      <c r="E14" s="341" t="s">
        <v>551</v>
      </c>
      <c r="F14" s="341" t="s">
        <v>28</v>
      </c>
      <c r="G14" s="341" t="s">
        <v>552</v>
      </c>
      <c r="H14" s="341" t="s">
        <v>553</v>
      </c>
      <c r="I14" s="341" t="s">
        <v>547</v>
      </c>
    </row>
    <row r="15" spans="1:14" ht="28.8" x14ac:dyDescent="0.3">
      <c r="A15" s="168">
        <v>10</v>
      </c>
      <c r="B15" s="180" t="s">
        <v>589</v>
      </c>
      <c r="C15" s="171"/>
      <c r="D15" s="323">
        <v>1.3</v>
      </c>
      <c r="E15" s="168" t="s">
        <v>556</v>
      </c>
      <c r="F15" s="168">
        <v>1</v>
      </c>
      <c r="G15" s="180"/>
      <c r="H15" s="179"/>
      <c r="I15" s="323">
        <f>IF('EN 03003'!$H15&lt;&gt;"",'EN 03003'!$D15*'EN 03003'!$F15*'EN 03003'!$H15,'EN 03003'!$D15*'EN 03003'!$F15)</f>
        <v>1.3</v>
      </c>
    </row>
    <row r="16" spans="1:14" ht="28.8" x14ac:dyDescent="0.3">
      <c r="A16" s="168">
        <v>20</v>
      </c>
      <c r="B16" s="171" t="s">
        <v>609</v>
      </c>
      <c r="C16" s="171"/>
      <c r="D16" s="323">
        <v>0.04</v>
      </c>
      <c r="E16" s="168" t="s">
        <v>610</v>
      </c>
      <c r="F16" s="168">
        <v>12</v>
      </c>
      <c r="G16" s="180" t="s">
        <v>723</v>
      </c>
      <c r="H16" s="179">
        <v>1</v>
      </c>
      <c r="I16" s="322">
        <f>IF('EN 03003'!$H16&lt;&gt;"",'EN 03003'!$D16*'EN 03003'!$F16*'EN 03003'!$H16,'EN 03003'!$D16*'EN 03003'!$F16)</f>
        <v>0.48</v>
      </c>
    </row>
    <row r="17" spans="1:9" ht="28.8" x14ac:dyDescent="0.3">
      <c r="A17" s="168">
        <v>30</v>
      </c>
      <c r="B17" s="180" t="s">
        <v>862</v>
      </c>
      <c r="C17" s="171"/>
      <c r="D17" s="323">
        <v>0.1</v>
      </c>
      <c r="E17" s="168" t="s">
        <v>593</v>
      </c>
      <c r="F17" s="168">
        <v>1</v>
      </c>
      <c r="G17" s="180"/>
      <c r="H17" s="179"/>
      <c r="I17" s="322">
        <f>IF('EN 03003'!$H17&lt;&gt;"",'EN 03003'!$D17*'EN 03003'!$F17*'EN 03003'!$H17,'EN 03003'!$D17*'EN 03003'!$F17)</f>
        <v>0.1</v>
      </c>
    </row>
    <row r="18" spans="1:9" ht="28.8" x14ac:dyDescent="0.3">
      <c r="A18" s="168">
        <v>40</v>
      </c>
      <c r="B18" s="180" t="s">
        <v>749</v>
      </c>
      <c r="C18" s="171" t="s">
        <v>918</v>
      </c>
      <c r="D18" s="323">
        <v>0.13</v>
      </c>
      <c r="E18" s="168" t="s">
        <v>556</v>
      </c>
      <c r="F18" s="168">
        <v>1</v>
      </c>
      <c r="G18" s="168"/>
      <c r="H18" s="168"/>
      <c r="I18" s="322">
        <f>IF('EN 03003'!$H18&lt;&gt;"",'EN 03003'!$D18*'EN 03003'!$F18*'EN 03003'!$H18,'EN 03003'!$D18*'EN 03003'!$F18)</f>
        <v>0.13</v>
      </c>
    </row>
    <row r="19" spans="1:9" x14ac:dyDescent="0.3">
      <c r="A19" s="168">
        <v>50</v>
      </c>
      <c r="B19" s="180" t="s">
        <v>674</v>
      </c>
      <c r="C19" s="171" t="s">
        <v>919</v>
      </c>
      <c r="D19" s="323">
        <v>1.5</v>
      </c>
      <c r="E19" s="168" t="s">
        <v>556</v>
      </c>
      <c r="F19" s="168">
        <v>1</v>
      </c>
      <c r="G19" s="168"/>
      <c r="H19" s="168"/>
      <c r="I19" s="322">
        <f>IF('EN 03003'!$H19&lt;&gt;"",'EN 03003'!$D19*'EN 03003'!$F19*'EN 03003'!$H19,'EN 03003'!$D19*'EN 03003'!$F19)</f>
        <v>1.5</v>
      </c>
    </row>
    <row r="20" spans="1:9" s="178" customFormat="1" x14ac:dyDescent="0.3">
      <c r="H20" s="338" t="s">
        <v>547</v>
      </c>
      <c r="I20" s="337">
        <f>SUM(I15:I19)</f>
        <v>3.5100000000000002</v>
      </c>
    </row>
  </sheetData>
  <pageMargins left="0.5" right="0.5" top="0.75" bottom="0.75" header="0.3" footer="0.3"/>
  <pageSetup paperSize="9" scale="66" orientation="landscape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-0.249977111117893"/>
    <pageSetUpPr fitToPage="1"/>
  </sheetPr>
  <dimension ref="A1:O34"/>
  <sheetViews>
    <sheetView showGridLines="0" zoomScaleNormal="100" workbookViewId="0"/>
  </sheetViews>
  <sheetFormatPr defaultColWidth="11.44140625" defaultRowHeight="14.4" x14ac:dyDescent="0.3"/>
  <cols>
    <col min="2" max="2" width="28" customWidth="1"/>
    <col min="3" max="3" width="35.5546875" customWidth="1"/>
    <col min="5" max="5" width="13.109375" customWidth="1"/>
    <col min="13" max="13" width="16.6640625" customWidth="1"/>
  </cols>
  <sheetData>
    <row r="1" spans="1:15" x14ac:dyDescent="0.3">
      <c r="A1" s="160" t="s">
        <v>523</v>
      </c>
      <c r="B1" s="161" t="s">
        <v>530</v>
      </c>
      <c r="J1" s="162" t="s">
        <v>528</v>
      </c>
      <c r="K1" s="163">
        <v>81</v>
      </c>
      <c r="M1" s="162" t="s">
        <v>531</v>
      </c>
      <c r="N1" s="164">
        <f>E14+I26+J34</f>
        <v>102.67614837982499</v>
      </c>
    </row>
    <row r="2" spans="1:15" x14ac:dyDescent="0.3">
      <c r="A2" s="160" t="s">
        <v>532</v>
      </c>
      <c r="B2" s="161" t="s">
        <v>8</v>
      </c>
      <c r="M2" s="162" t="s">
        <v>533</v>
      </c>
      <c r="N2" s="165">
        <v>2</v>
      </c>
    </row>
    <row r="3" spans="1:15" x14ac:dyDescent="0.3">
      <c r="A3" s="162" t="s">
        <v>534</v>
      </c>
      <c r="B3" t="s">
        <v>535</v>
      </c>
      <c r="J3" s="162" t="s">
        <v>536</v>
      </c>
    </row>
    <row r="4" spans="1:15" x14ac:dyDescent="0.3">
      <c r="A4" s="160" t="s">
        <v>537</v>
      </c>
      <c r="B4" s="166" t="s">
        <v>35</v>
      </c>
      <c r="J4" s="162" t="s">
        <v>538</v>
      </c>
      <c r="M4" s="162" t="s">
        <v>539</v>
      </c>
      <c r="N4" s="164">
        <f>N1*N2</f>
        <v>205.35229675964999</v>
      </c>
    </row>
    <row r="5" spans="1:15" x14ac:dyDescent="0.3">
      <c r="A5" s="160" t="s">
        <v>540</v>
      </c>
      <c r="B5" s="161" t="s">
        <v>36</v>
      </c>
      <c r="J5" s="162" t="s">
        <v>541</v>
      </c>
    </row>
    <row r="6" spans="1:15" x14ac:dyDescent="0.3">
      <c r="A6" s="160" t="s">
        <v>542</v>
      </c>
      <c r="B6" s="161" t="s">
        <v>543</v>
      </c>
    </row>
    <row r="8" spans="1:15" x14ac:dyDescent="0.3">
      <c r="A8" s="167" t="s">
        <v>544</v>
      </c>
      <c r="B8" s="167" t="s">
        <v>545</v>
      </c>
      <c r="C8" s="167" t="s">
        <v>546</v>
      </c>
      <c r="D8" s="167" t="s">
        <v>28</v>
      </c>
      <c r="E8" s="167" t="s">
        <v>547</v>
      </c>
    </row>
    <row r="9" spans="1:15" x14ac:dyDescent="0.3">
      <c r="A9" s="168">
        <v>10</v>
      </c>
      <c r="B9" s="169" t="s">
        <v>38</v>
      </c>
      <c r="C9" s="170">
        <f>'BR 01001'!N1</f>
        <v>5.3782154600000007</v>
      </c>
      <c r="D9" s="171">
        <v>1</v>
      </c>
      <c r="E9" s="170">
        <f>C9</f>
        <v>5.3782154600000007</v>
      </c>
    </row>
    <row r="10" spans="1:15" x14ac:dyDescent="0.3">
      <c r="A10" s="168">
        <v>20</v>
      </c>
      <c r="B10" s="169" t="s">
        <v>40</v>
      </c>
      <c r="C10" s="170">
        <f>'BR 01002'!$N$1</f>
        <v>6.9797859406250007</v>
      </c>
      <c r="D10" s="171">
        <v>1</v>
      </c>
      <c r="E10" s="170">
        <f>D10*C10</f>
        <v>6.9797859406250007</v>
      </c>
      <c r="M10" s="172"/>
    </row>
    <row r="11" spans="1:15" x14ac:dyDescent="0.3">
      <c r="A11" s="168">
        <v>30</v>
      </c>
      <c r="B11" s="169" t="s">
        <v>42</v>
      </c>
      <c r="C11" s="170">
        <f>'BR 01003'!N1</f>
        <v>83</v>
      </c>
      <c r="D11" s="171">
        <v>1</v>
      </c>
      <c r="E11" s="170">
        <v>83</v>
      </c>
      <c r="H11" s="173"/>
      <c r="I11" s="174"/>
      <c r="J11" s="174"/>
      <c r="K11" s="175"/>
      <c r="L11" s="174"/>
      <c r="M11" s="174"/>
      <c r="N11" s="174"/>
      <c r="O11" s="174"/>
    </row>
    <row r="12" spans="1:15" x14ac:dyDescent="0.3">
      <c r="A12" s="168">
        <v>40</v>
      </c>
      <c r="B12" s="169" t="s">
        <v>44</v>
      </c>
      <c r="C12" s="170">
        <f>'BR 01004'!N1</f>
        <v>0.96000000000000019</v>
      </c>
      <c r="D12" s="171">
        <v>2</v>
      </c>
      <c r="E12" s="170">
        <f>C12*D12</f>
        <v>1.9200000000000004</v>
      </c>
    </row>
    <row r="13" spans="1:15" x14ac:dyDescent="0.3">
      <c r="A13" s="168">
        <v>50</v>
      </c>
      <c r="B13" s="168" t="s">
        <v>53</v>
      </c>
      <c r="C13" s="170">
        <f>'BR 01005'!N1</f>
        <v>0.15302449653333333</v>
      </c>
      <c r="D13" s="171">
        <v>6</v>
      </c>
      <c r="E13" s="170">
        <f>C13*D13</f>
        <v>0.91814697919999999</v>
      </c>
    </row>
    <row r="14" spans="1:15" x14ac:dyDescent="0.3">
      <c r="D14" s="176" t="s">
        <v>547</v>
      </c>
      <c r="E14" s="177">
        <f>SUM(E9:E13)</f>
        <v>98.196148379825004</v>
      </c>
    </row>
    <row r="17" spans="1:14" x14ac:dyDescent="0.3">
      <c r="A17" s="167" t="s">
        <v>544</v>
      </c>
      <c r="B17" s="167" t="s">
        <v>548</v>
      </c>
      <c r="C17" s="167" t="s">
        <v>549</v>
      </c>
      <c r="D17" s="167" t="s">
        <v>550</v>
      </c>
      <c r="E17" s="167" t="s">
        <v>551</v>
      </c>
      <c r="F17" s="167" t="s">
        <v>28</v>
      </c>
      <c r="G17" s="167" t="s">
        <v>552</v>
      </c>
      <c r="H17" s="167" t="s">
        <v>553</v>
      </c>
      <c r="I17" s="167" t="s">
        <v>547</v>
      </c>
      <c r="J17" s="178"/>
      <c r="K17" s="178"/>
      <c r="L17" s="178"/>
      <c r="M17" s="178"/>
      <c r="N17" s="178"/>
    </row>
    <row r="18" spans="1:14" x14ac:dyDescent="0.3">
      <c r="A18" s="168">
        <v>10</v>
      </c>
      <c r="B18" s="168" t="s">
        <v>554</v>
      </c>
      <c r="C18" s="168" t="s">
        <v>555</v>
      </c>
      <c r="D18" s="170">
        <v>0.13</v>
      </c>
      <c r="E18" s="168" t="s">
        <v>556</v>
      </c>
      <c r="F18" s="179">
        <v>2</v>
      </c>
      <c r="G18" s="179"/>
      <c r="H18" s="179"/>
      <c r="I18" s="170">
        <f>F18*D18</f>
        <v>0.26</v>
      </c>
    </row>
    <row r="19" spans="1:14" x14ac:dyDescent="0.3">
      <c r="A19" s="168">
        <v>20</v>
      </c>
      <c r="B19" s="180" t="s">
        <v>557</v>
      </c>
      <c r="C19" s="171" t="s">
        <v>558</v>
      </c>
      <c r="D19" s="170">
        <v>0.06</v>
      </c>
      <c r="E19" s="180" t="s">
        <v>556</v>
      </c>
      <c r="F19" s="179">
        <v>1</v>
      </c>
      <c r="G19" s="168"/>
      <c r="H19" s="168"/>
      <c r="I19" s="170">
        <f>F19*D19</f>
        <v>0.06</v>
      </c>
    </row>
    <row r="20" spans="1:14" x14ac:dyDescent="0.3">
      <c r="A20" s="168">
        <v>30</v>
      </c>
      <c r="B20" s="180" t="s">
        <v>559</v>
      </c>
      <c r="C20" s="168" t="s">
        <v>560</v>
      </c>
      <c r="D20" s="170">
        <v>0.75</v>
      </c>
      <c r="E20" s="168" t="s">
        <v>556</v>
      </c>
      <c r="F20" s="179">
        <v>2</v>
      </c>
      <c r="G20" s="168"/>
      <c r="H20" s="168"/>
      <c r="I20" s="170">
        <f t="shared" ref="I20:I25" si="0">F20*D20</f>
        <v>1.5</v>
      </c>
    </row>
    <row r="21" spans="1:14" x14ac:dyDescent="0.3">
      <c r="A21" s="168">
        <v>40</v>
      </c>
      <c r="B21" s="315" t="s">
        <v>733</v>
      </c>
      <c r="C21" s="184" t="s">
        <v>577</v>
      </c>
      <c r="D21" s="170">
        <v>0.6</v>
      </c>
      <c r="E21" s="168" t="s">
        <v>556</v>
      </c>
      <c r="F21" s="179">
        <v>1</v>
      </c>
      <c r="G21" s="168"/>
      <c r="H21" s="168"/>
      <c r="I21" s="170">
        <f t="shared" si="0"/>
        <v>0.6</v>
      </c>
    </row>
    <row r="22" spans="1:14" x14ac:dyDescent="0.3">
      <c r="A22" s="168">
        <v>50</v>
      </c>
      <c r="B22" s="183" t="s">
        <v>554</v>
      </c>
      <c r="C22" s="184" t="s">
        <v>561</v>
      </c>
      <c r="D22" s="170">
        <v>0.13</v>
      </c>
      <c r="E22" s="183" t="s">
        <v>551</v>
      </c>
      <c r="F22" s="179">
        <v>1</v>
      </c>
      <c r="G22" s="183"/>
      <c r="H22" s="183"/>
      <c r="I22" s="170">
        <f t="shared" si="0"/>
        <v>0.13</v>
      </c>
    </row>
    <row r="23" spans="1:14" x14ac:dyDescent="0.3">
      <c r="A23" s="168">
        <v>60</v>
      </c>
      <c r="B23" s="183" t="s">
        <v>562</v>
      </c>
      <c r="C23" s="184" t="s">
        <v>563</v>
      </c>
      <c r="D23" s="170">
        <v>0.06</v>
      </c>
      <c r="E23" s="183" t="s">
        <v>551</v>
      </c>
      <c r="F23" s="179">
        <v>6</v>
      </c>
      <c r="G23" s="183"/>
      <c r="H23" s="183"/>
      <c r="I23" s="170">
        <f t="shared" si="0"/>
        <v>0.36</v>
      </c>
    </row>
    <row r="24" spans="1:14" x14ac:dyDescent="0.3">
      <c r="A24" s="168">
        <v>70</v>
      </c>
      <c r="B24" s="183" t="s">
        <v>554</v>
      </c>
      <c r="C24" s="184" t="s">
        <v>564</v>
      </c>
      <c r="D24" s="170">
        <v>0.13</v>
      </c>
      <c r="E24" s="183" t="s">
        <v>551</v>
      </c>
      <c r="F24" s="179">
        <v>6</v>
      </c>
      <c r="G24" s="183"/>
      <c r="H24" s="183"/>
      <c r="I24" s="170">
        <f t="shared" si="0"/>
        <v>0.78</v>
      </c>
    </row>
    <row r="25" spans="1:14" x14ac:dyDescent="0.3">
      <c r="A25" s="168">
        <v>80</v>
      </c>
      <c r="B25" s="183" t="s">
        <v>554</v>
      </c>
      <c r="C25" s="168" t="s">
        <v>565</v>
      </c>
      <c r="D25" s="170">
        <v>0.13</v>
      </c>
      <c r="E25" s="168" t="s">
        <v>551</v>
      </c>
      <c r="F25" s="179">
        <v>1</v>
      </c>
      <c r="G25" s="168"/>
      <c r="H25" s="168"/>
      <c r="I25" s="170">
        <f t="shared" si="0"/>
        <v>0.13</v>
      </c>
    </row>
    <row r="26" spans="1:14" x14ac:dyDescent="0.3">
      <c r="A26" s="178"/>
      <c r="B26" s="178"/>
      <c r="C26" s="178"/>
      <c r="D26" s="178"/>
      <c r="E26" s="178"/>
      <c r="F26" s="178"/>
      <c r="G26" s="178"/>
      <c r="H26" s="176" t="s">
        <v>547</v>
      </c>
      <c r="I26" s="177">
        <f>SUM(I18:I25)</f>
        <v>3.8199999999999994</v>
      </c>
    </row>
    <row r="28" spans="1:14" x14ac:dyDescent="0.3">
      <c r="A28" s="167" t="s">
        <v>544</v>
      </c>
      <c r="B28" s="167" t="s">
        <v>566</v>
      </c>
      <c r="C28" s="167" t="s">
        <v>549</v>
      </c>
      <c r="D28" s="167" t="s">
        <v>550</v>
      </c>
      <c r="E28" s="167" t="s">
        <v>567</v>
      </c>
      <c r="F28" s="167" t="s">
        <v>568</v>
      </c>
      <c r="G28" s="167" t="s">
        <v>569</v>
      </c>
      <c r="H28" s="167" t="s">
        <v>570</v>
      </c>
      <c r="I28" s="167" t="s">
        <v>28</v>
      </c>
      <c r="J28" s="167" t="s">
        <v>547</v>
      </c>
    </row>
    <row r="29" spans="1:14" x14ac:dyDescent="0.3">
      <c r="A29" s="168">
        <v>10</v>
      </c>
      <c r="B29" s="168" t="s">
        <v>571</v>
      </c>
      <c r="C29" s="168" t="s">
        <v>572</v>
      </c>
      <c r="D29" s="186">
        <v>0.14000000000000001</v>
      </c>
      <c r="E29" s="187">
        <v>8</v>
      </c>
      <c r="F29" s="187" t="s">
        <v>573</v>
      </c>
      <c r="G29" s="187">
        <v>35</v>
      </c>
      <c r="H29" s="187" t="s">
        <v>573</v>
      </c>
      <c r="I29" s="188">
        <v>2</v>
      </c>
      <c r="J29" s="170">
        <f>I29*D29</f>
        <v>0.28000000000000003</v>
      </c>
    </row>
    <row r="30" spans="1:14" x14ac:dyDescent="0.3">
      <c r="A30" s="168">
        <v>20</v>
      </c>
      <c r="B30" s="168" t="s">
        <v>574</v>
      </c>
      <c r="C30" s="168" t="s">
        <v>572</v>
      </c>
      <c r="D30" s="186">
        <v>0.01</v>
      </c>
      <c r="E30" s="168">
        <v>8</v>
      </c>
      <c r="F30" s="189" t="s">
        <v>573</v>
      </c>
      <c r="G30" s="168"/>
      <c r="H30" s="171"/>
      <c r="I30" s="188">
        <v>2</v>
      </c>
      <c r="J30" s="170">
        <f>I30*D30</f>
        <v>0.02</v>
      </c>
    </row>
    <row r="31" spans="1:14" x14ac:dyDescent="0.3">
      <c r="A31" s="168">
        <v>30</v>
      </c>
      <c r="B31" s="168" t="s">
        <v>574</v>
      </c>
      <c r="C31" s="184" t="s">
        <v>561</v>
      </c>
      <c r="D31" s="186">
        <v>0.01</v>
      </c>
      <c r="E31" s="168">
        <v>12</v>
      </c>
      <c r="F31" s="189" t="s">
        <v>573</v>
      </c>
      <c r="G31" s="168"/>
      <c r="H31" s="171"/>
      <c r="I31" s="188">
        <v>12</v>
      </c>
      <c r="J31" s="170">
        <f>I31*D31</f>
        <v>0.12</v>
      </c>
    </row>
    <row r="32" spans="1:14" s="196" customFormat="1" x14ac:dyDescent="0.3">
      <c r="A32" s="168">
        <v>40</v>
      </c>
      <c r="B32" s="190" t="s">
        <v>575</v>
      </c>
      <c r="C32" s="184" t="s">
        <v>561</v>
      </c>
      <c r="D32" s="191">
        <v>0.04</v>
      </c>
      <c r="E32" s="184">
        <v>12</v>
      </c>
      <c r="F32" s="192" t="s">
        <v>573</v>
      </c>
      <c r="G32" s="184"/>
      <c r="H32" s="193"/>
      <c r="I32" s="194">
        <v>6</v>
      </c>
      <c r="J32" s="195">
        <f>D32*I32</f>
        <v>0.24</v>
      </c>
    </row>
    <row r="33" spans="1:10" s="196" customFormat="1" x14ac:dyDescent="0.3">
      <c r="A33" s="168">
        <v>50</v>
      </c>
      <c r="B33" s="190" t="s">
        <v>576</v>
      </c>
      <c r="C33" s="184" t="s">
        <v>577</v>
      </c>
      <c r="D33" s="191">
        <v>0</v>
      </c>
      <c r="E33" s="184"/>
      <c r="F33" s="192"/>
      <c r="G33" s="184"/>
      <c r="H33" s="193"/>
      <c r="I33" s="194">
        <v>2</v>
      </c>
      <c r="J33" s="170">
        <f>D33*I33</f>
        <v>0</v>
      </c>
    </row>
    <row r="34" spans="1:10" x14ac:dyDescent="0.3">
      <c r="A34" s="178"/>
      <c r="B34" s="178"/>
      <c r="C34" s="178"/>
      <c r="D34" s="178"/>
      <c r="E34" s="178"/>
      <c r="F34" s="178"/>
      <c r="G34" s="178"/>
      <c r="H34" s="178"/>
      <c r="I34" s="176" t="s">
        <v>547</v>
      </c>
      <c r="J34" s="177">
        <f>SUM(J29:J33)</f>
        <v>0.66</v>
      </c>
    </row>
  </sheetData>
  <pageMargins left="0.7" right="0.7" top="0.75" bottom="0.75" header="0.3" footer="0.3"/>
  <pageSetup paperSize="9" scale="59" fitToHeight="0" orientation="landscape" r:id="rId1"/>
  <headerFooter>
    <oddFooter>&amp;C&amp;P</oddFooter>
  </headerFooter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3.33203125" style="161" customWidth="1"/>
    <col min="2" max="2" width="23.66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9.6640625" style="161" customWidth="1"/>
    <col min="7" max="7" width="20.109375" style="161" customWidth="1"/>
    <col min="8" max="8" width="10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" style="161" customWidth="1"/>
    <col min="14" max="14" width="11.66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1.0023919999999999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866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102</v>
      </c>
      <c r="D4" s="342" t="s">
        <v>541</v>
      </c>
      <c r="J4" s="342" t="s">
        <v>538</v>
      </c>
      <c r="M4" s="342" t="s">
        <v>539</v>
      </c>
      <c r="N4" s="336">
        <f>N1*N2</f>
        <v>2.0047839999999999</v>
      </c>
    </row>
    <row r="5" spans="1:14" x14ac:dyDescent="0.3">
      <c r="A5" s="342" t="s">
        <v>537</v>
      </c>
      <c r="B5" s="166" t="s">
        <v>101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381" t="s">
        <v>606</v>
      </c>
      <c r="C10" s="168"/>
      <c r="D10" s="323">
        <v>2.25</v>
      </c>
      <c r="E10" s="168">
        <v>32</v>
      </c>
      <c r="F10" s="168" t="s">
        <v>573</v>
      </c>
      <c r="G10" s="168">
        <v>30</v>
      </c>
      <c r="H10" s="219" t="s">
        <v>573</v>
      </c>
      <c r="I10" s="269" t="s">
        <v>920</v>
      </c>
      <c r="J10" s="227">
        <f>E10*G10/1000000</f>
        <v>9.6000000000000002E-4</v>
      </c>
      <c r="K10" s="227">
        <v>4.0000000000000001E-3</v>
      </c>
      <c r="L10" s="219">
        <v>7800</v>
      </c>
      <c r="M10" s="339">
        <v>1</v>
      </c>
      <c r="N10" s="322">
        <f>IF(J10="",D10*M10,D10*J10*K10*L10*M10)</f>
        <v>6.7392000000000007E-2</v>
      </c>
    </row>
    <row r="11" spans="1:14" s="178" customFormat="1" x14ac:dyDescent="0.3">
      <c r="M11" s="338" t="s">
        <v>547</v>
      </c>
      <c r="N11" s="337">
        <f>SUM(N10:N10)</f>
        <v>6.7392000000000007E-2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s="178" customFormat="1" ht="30.6" customHeight="1" x14ac:dyDescent="0.3">
      <c r="A14" s="171">
        <v>10</v>
      </c>
      <c r="B14" s="315" t="s">
        <v>589</v>
      </c>
      <c r="C14" s="171"/>
      <c r="D14" s="323">
        <v>1.3</v>
      </c>
      <c r="E14" s="171" t="s">
        <v>556</v>
      </c>
      <c r="F14" s="171">
        <v>1</v>
      </c>
      <c r="G14" s="193" t="s">
        <v>1508</v>
      </c>
      <c r="H14" s="171">
        <v>0.5</v>
      </c>
      <c r="I14" s="323">
        <f>IF('EN 03004'!$H14&lt;&gt;"",'EN 03004'!$D14*'EN 03004'!$F14*'EN 03004'!$H14,'EN 03004'!$D14*'EN 03004'!$F14)</f>
        <v>0.65</v>
      </c>
    </row>
    <row r="15" spans="1:14" x14ac:dyDescent="0.3">
      <c r="A15" s="168">
        <v>20</v>
      </c>
      <c r="B15" s="171" t="s">
        <v>700</v>
      </c>
      <c r="C15" s="171"/>
      <c r="D15" s="323">
        <v>0.01</v>
      </c>
      <c r="E15" s="168" t="s">
        <v>593</v>
      </c>
      <c r="F15" s="168">
        <v>9.5</v>
      </c>
      <c r="G15" s="180" t="s">
        <v>598</v>
      </c>
      <c r="H15" s="358">
        <v>3</v>
      </c>
      <c r="I15" s="323">
        <f>IF('EN 03004'!$H15&lt;&gt;"",'EN 03004'!$D15*'EN 03004'!$F15*'EN 03004'!$H15,'EN 03004'!$D15*'EN 03004'!$F15)</f>
        <v>0.28500000000000003</v>
      </c>
    </row>
    <row r="16" spans="1:14" s="178" customFormat="1" x14ac:dyDescent="0.3">
      <c r="H16" s="338" t="s">
        <v>547</v>
      </c>
      <c r="I16" s="337">
        <f>SUM(I14:I15)</f>
        <v>0.93500000000000005</v>
      </c>
    </row>
  </sheetData>
  <pageMargins left="0.5" right="0.5" top="0.75" bottom="0.75" header="0.3" footer="0.3"/>
  <pageSetup paperSize="9" scale="69" orientation="landscape"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2.44140625" style="161" customWidth="1"/>
    <col min="2" max="2" width="2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4.441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8.332031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3.5963104000000001</v>
      </c>
    </row>
    <row r="2" spans="1:14" x14ac:dyDescent="0.3">
      <c r="A2" s="342" t="s">
        <v>532</v>
      </c>
      <c r="B2" s="161" t="s">
        <v>780</v>
      </c>
      <c r="C2" s="359" t="s">
        <v>732</v>
      </c>
      <c r="D2" s="345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866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104</v>
      </c>
      <c r="D4" s="342" t="s">
        <v>541</v>
      </c>
      <c r="J4" s="342" t="s">
        <v>538</v>
      </c>
      <c r="M4" s="342" t="s">
        <v>539</v>
      </c>
      <c r="N4" s="336">
        <f>N1*N2</f>
        <v>3.5963104000000001</v>
      </c>
    </row>
    <row r="5" spans="1:14" x14ac:dyDescent="0.3">
      <c r="A5" s="342" t="s">
        <v>537</v>
      </c>
      <c r="B5" s="166" t="s">
        <v>103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s="311" customFormat="1" ht="28.8" x14ac:dyDescent="0.3">
      <c r="A10" s="183">
        <v>10</v>
      </c>
      <c r="B10" s="190" t="s">
        <v>606</v>
      </c>
      <c r="C10" s="183"/>
      <c r="D10" s="241">
        <v>2.25</v>
      </c>
      <c r="E10" s="183">
        <v>522</v>
      </c>
      <c r="F10" s="183" t="s">
        <v>573</v>
      </c>
      <c r="G10" s="183">
        <v>32</v>
      </c>
      <c r="H10" s="204" t="s">
        <v>573</v>
      </c>
      <c r="I10" s="269" t="s">
        <v>921</v>
      </c>
      <c r="J10" s="206">
        <f>E10*G10/1000000</f>
        <v>1.6704E-2</v>
      </c>
      <c r="K10" s="206">
        <v>2E-3</v>
      </c>
      <c r="L10" s="204">
        <v>7800</v>
      </c>
      <c r="M10" s="384">
        <v>1</v>
      </c>
      <c r="N10" s="385">
        <f>IF(J10="",D10*M10,D10*J10*K10*L10*M10)</f>
        <v>0.58631040000000001</v>
      </c>
    </row>
    <row r="11" spans="1:14" s="178" customFormat="1" x14ac:dyDescent="0.3">
      <c r="M11" s="338" t="s">
        <v>547</v>
      </c>
      <c r="N11" s="337">
        <f>SUM(N10:N10)</f>
        <v>0.58631040000000001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s="178" customFormat="1" ht="28.8" x14ac:dyDescent="0.3">
      <c r="A14" s="168">
        <v>10</v>
      </c>
      <c r="B14" s="315" t="s">
        <v>589</v>
      </c>
      <c r="C14" s="168"/>
      <c r="D14" s="323">
        <v>1.3</v>
      </c>
      <c r="E14" s="168" t="s">
        <v>556</v>
      </c>
      <c r="F14" s="171">
        <v>1</v>
      </c>
      <c r="G14" s="168"/>
      <c r="H14" s="171"/>
      <c r="I14" s="323">
        <f>IF('EN 03005'!$H14&lt;&gt;"",'EN 03005'!$D14*'EN 03005'!$F14*'EN 03005'!$H14,'EN 03005'!$D14*'EN 03005'!$F14)</f>
        <v>1.3</v>
      </c>
    </row>
    <row r="15" spans="1:14" x14ac:dyDescent="0.3">
      <c r="A15" s="168">
        <v>20</v>
      </c>
      <c r="B15" s="171" t="s">
        <v>700</v>
      </c>
      <c r="C15" s="171"/>
      <c r="D15" s="323">
        <v>0.01</v>
      </c>
      <c r="E15" s="168" t="s">
        <v>593</v>
      </c>
      <c r="F15" s="168">
        <v>57</v>
      </c>
      <c r="G15" s="180" t="s">
        <v>598</v>
      </c>
      <c r="H15" s="358">
        <v>3</v>
      </c>
      <c r="I15" s="323">
        <f>IF('EN 03005'!$H15&lt;&gt;"",'EN 03005'!$D15*'EN 03005'!$F15*'EN 03005'!$H15,'EN 03005'!$D15*'EN 03005'!$F15)</f>
        <v>1.7100000000000002</v>
      </c>
    </row>
    <row r="16" spans="1:14" s="178" customFormat="1" x14ac:dyDescent="0.3">
      <c r="H16" s="338" t="s">
        <v>547</v>
      </c>
      <c r="I16" s="337">
        <f>SUM(I14:I15)</f>
        <v>3.0100000000000002</v>
      </c>
    </row>
  </sheetData>
  <hyperlinks>
    <hyperlink ref="D2" location="'Front tab drawing'!A1" display="FileLink1"/>
  </hyperlinks>
  <pageMargins left="0.5" right="0.5" top="0.75" bottom="0.75" header="0.3" footer="0.3"/>
  <pageSetup paperSize="9" scale="65" orientation="landscape"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6"/>
  <sheetViews>
    <sheetView showGridLines="0" workbookViewId="0"/>
  </sheetViews>
  <sheetFormatPr defaultColWidth="9.109375" defaultRowHeight="14.4" x14ac:dyDescent="0.3"/>
  <cols>
    <col min="1" max="1" width="9.6640625" style="161" bestFit="1" customWidth="1"/>
    <col min="2" max="2" width="31.5546875" style="161" customWidth="1"/>
    <col min="3" max="3" width="16.88671875" style="161" customWidth="1"/>
    <col min="4" max="4" width="10.44140625" style="161" customWidth="1"/>
    <col min="5" max="5" width="11.33203125" style="161" customWidth="1"/>
    <col min="6" max="6" width="9.6640625" style="161" customWidth="1"/>
    <col min="7" max="7" width="19.5546875" style="161" customWidth="1"/>
    <col min="8" max="8" width="10.664062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164">
        <f>N11+I21+J26</f>
        <v>3.9607300000000003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866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106</v>
      </c>
      <c r="D4" s="342" t="s">
        <v>541</v>
      </c>
      <c r="J4" s="342" t="s">
        <v>538</v>
      </c>
      <c r="M4" s="342" t="s">
        <v>539</v>
      </c>
      <c r="N4" s="164">
        <f>N1*N2</f>
        <v>3.9607300000000003</v>
      </c>
    </row>
    <row r="5" spans="1:14" x14ac:dyDescent="0.3">
      <c r="A5" s="342" t="s">
        <v>537</v>
      </c>
      <c r="B5" s="166" t="s">
        <v>105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720</v>
      </c>
      <c r="C10" s="168" t="s">
        <v>922</v>
      </c>
      <c r="D10" s="170">
        <v>4.2</v>
      </c>
      <c r="E10" s="168">
        <v>40</v>
      </c>
      <c r="F10" s="168" t="s">
        <v>573</v>
      </c>
      <c r="G10" s="168">
        <v>25</v>
      </c>
      <c r="H10" s="219" t="s">
        <v>573</v>
      </c>
      <c r="I10" s="269" t="s">
        <v>861</v>
      </c>
      <c r="J10" s="227">
        <f>E10*G10/1000000</f>
        <v>1E-3</v>
      </c>
      <c r="K10" s="227">
        <v>1.4999999999999999E-2</v>
      </c>
      <c r="L10" s="219">
        <v>2710</v>
      </c>
      <c r="M10" s="339">
        <v>1</v>
      </c>
      <c r="N10" s="223">
        <f>IF(J10="",D10*M10,D10*J10*K10*L10*M10)</f>
        <v>0.17073000000000005</v>
      </c>
    </row>
    <row r="11" spans="1:14" s="178" customFormat="1" x14ac:dyDescent="0.3">
      <c r="M11" s="338" t="s">
        <v>547</v>
      </c>
      <c r="N11" s="337">
        <f>SUM(N10:N10)</f>
        <v>0.17073000000000005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7" customHeight="1" x14ac:dyDescent="0.3">
      <c r="A14" s="168">
        <v>10</v>
      </c>
      <c r="B14" s="180" t="s">
        <v>589</v>
      </c>
      <c r="C14" s="171"/>
      <c r="D14" s="170">
        <v>1.3</v>
      </c>
      <c r="E14" s="168" t="s">
        <v>556</v>
      </c>
      <c r="F14" s="168">
        <v>1</v>
      </c>
      <c r="G14" s="168"/>
      <c r="H14" s="168"/>
      <c r="I14" s="170">
        <f>IF('EN 03006'!$H14&lt;&gt;"",'EN 03006'!$D14*'EN 03006'!$F14*'EN 03006'!$H14,'EN 03006'!$D14*'EN 03006'!$F14)</f>
        <v>1.3</v>
      </c>
    </row>
    <row r="15" spans="1:14" ht="15" customHeight="1" x14ac:dyDescent="0.3">
      <c r="A15" s="168">
        <v>20</v>
      </c>
      <c r="B15" s="180" t="s">
        <v>609</v>
      </c>
      <c r="C15" s="168"/>
      <c r="D15" s="368">
        <v>0.04</v>
      </c>
      <c r="E15" s="180" t="s">
        <v>610</v>
      </c>
      <c r="F15" s="168">
        <v>7</v>
      </c>
      <c r="G15" s="315" t="s">
        <v>723</v>
      </c>
      <c r="H15" s="168">
        <v>1</v>
      </c>
      <c r="I15" s="170">
        <f>IF('EN 03006'!$H15&lt;&gt;"",'EN 03006'!$D15*'EN 03006'!$F15*'EN 03006'!$H15,'EN 03006'!$D15*'EN 03006'!$F15)</f>
        <v>0.28000000000000003</v>
      </c>
    </row>
    <row r="16" spans="1:14" ht="15" customHeight="1" x14ac:dyDescent="0.3">
      <c r="A16" s="168">
        <v>30</v>
      </c>
      <c r="B16" s="180" t="s">
        <v>791</v>
      </c>
      <c r="C16" s="168"/>
      <c r="D16" s="368">
        <v>0.35</v>
      </c>
      <c r="E16" s="168" t="s">
        <v>843</v>
      </c>
      <c r="F16" s="168">
        <v>1</v>
      </c>
      <c r="G16" s="168"/>
      <c r="H16" s="168"/>
      <c r="I16" s="170">
        <f>IF('EN 03006'!$H16&lt;&gt;"",'EN 03006'!$D16*'EN 03006'!$F16*'EN 03006'!$H16,'EN 03006'!$D16*'EN 03006'!$F16)</f>
        <v>0.35</v>
      </c>
    </row>
    <row r="17" spans="1:10" ht="15" customHeight="1" x14ac:dyDescent="0.3">
      <c r="A17" s="168">
        <v>40</v>
      </c>
      <c r="B17" s="180" t="s">
        <v>785</v>
      </c>
      <c r="C17" s="171"/>
      <c r="D17" s="170">
        <v>0.65</v>
      </c>
      <c r="E17" s="168" t="s">
        <v>556</v>
      </c>
      <c r="F17" s="168">
        <v>1</v>
      </c>
      <c r="G17" s="168"/>
      <c r="H17" s="168"/>
      <c r="I17" s="170">
        <f>IF('EN 03006'!$H17&lt;&gt;"",'EN 03006'!$D17*'EN 03006'!$F17*'EN 03006'!$H17,'EN 03006'!$D17*'EN 03006'!$F17)</f>
        <v>0.65</v>
      </c>
    </row>
    <row r="18" spans="1:10" ht="15" customHeight="1" x14ac:dyDescent="0.3">
      <c r="A18" s="168">
        <v>50</v>
      </c>
      <c r="B18" s="180" t="s">
        <v>609</v>
      </c>
      <c r="C18" s="168"/>
      <c r="D18" s="368">
        <v>0.04</v>
      </c>
      <c r="E18" s="180" t="s">
        <v>610</v>
      </c>
      <c r="F18" s="168">
        <v>4</v>
      </c>
      <c r="G18" s="315" t="s">
        <v>723</v>
      </c>
      <c r="H18" s="168">
        <v>1</v>
      </c>
      <c r="I18" s="170">
        <f>IF('EN 03006'!$H18&lt;&gt;"",'EN 03006'!$D18*'EN 03006'!$F18*'EN 03006'!$H18,'EN 03006'!$D18*'EN 03006'!$F18)</f>
        <v>0.16</v>
      </c>
    </row>
    <row r="19" spans="1:10" ht="15" customHeight="1" x14ac:dyDescent="0.3">
      <c r="A19" s="168">
        <v>60</v>
      </c>
      <c r="B19" s="180" t="s">
        <v>862</v>
      </c>
      <c r="C19" s="171"/>
      <c r="D19" s="170">
        <v>0.1</v>
      </c>
      <c r="E19" s="168" t="s">
        <v>593</v>
      </c>
      <c r="F19" s="168">
        <v>1.5</v>
      </c>
      <c r="G19" s="168"/>
      <c r="H19" s="168"/>
      <c r="I19" s="170">
        <f>IF('EN 03006'!$H19&lt;&gt;"",'EN 03006'!$D19*'EN 03006'!$F19*'EN 03006'!$H19,'EN 03006'!$D19*'EN 03006'!$F19)</f>
        <v>0.15000000000000002</v>
      </c>
    </row>
    <row r="20" spans="1:10" ht="15" customHeight="1" x14ac:dyDescent="0.3">
      <c r="A20" s="168">
        <v>70</v>
      </c>
      <c r="B20" s="180" t="s">
        <v>863</v>
      </c>
      <c r="C20" s="168"/>
      <c r="D20" s="368">
        <v>0.4</v>
      </c>
      <c r="E20" s="180" t="s">
        <v>593</v>
      </c>
      <c r="F20" s="168">
        <v>2</v>
      </c>
      <c r="G20" s="168"/>
      <c r="H20" s="168"/>
      <c r="I20" s="170">
        <f>IF('EN 03006'!$H20&lt;&gt;"",'EN 03006'!$D20*'EN 03006'!$F20*'EN 03006'!$H20,'EN 03006'!$D20*'EN 03006'!$F20)</f>
        <v>0.8</v>
      </c>
    </row>
    <row r="21" spans="1:10" s="178" customFormat="1" x14ac:dyDescent="0.3">
      <c r="H21" s="338" t="s">
        <v>547</v>
      </c>
      <c r="I21" s="337">
        <f>SUM(I14:I20)</f>
        <v>3.6900000000000004</v>
      </c>
    </row>
    <row r="23" spans="1:10" s="178" customFormat="1" x14ac:dyDescent="0.3">
      <c r="A23" s="341" t="s">
        <v>544</v>
      </c>
      <c r="B23" s="341" t="s">
        <v>566</v>
      </c>
      <c r="C23" s="341" t="s">
        <v>549</v>
      </c>
      <c r="D23" s="341" t="s">
        <v>550</v>
      </c>
      <c r="E23" s="341" t="s">
        <v>567</v>
      </c>
      <c r="F23" s="341" t="s">
        <v>568</v>
      </c>
      <c r="G23" s="341" t="s">
        <v>569</v>
      </c>
      <c r="H23" s="341" t="s">
        <v>570</v>
      </c>
      <c r="I23" s="341" t="s">
        <v>28</v>
      </c>
      <c r="J23" s="341" t="s">
        <v>547</v>
      </c>
    </row>
    <row r="24" spans="1:10" ht="15" customHeight="1" x14ac:dyDescent="0.3">
      <c r="A24" s="168">
        <v>10</v>
      </c>
      <c r="B24" s="356" t="s">
        <v>618</v>
      </c>
      <c r="C24" s="168"/>
      <c r="D24" s="168">
        <v>0.02</v>
      </c>
      <c r="E24" s="168">
        <v>5</v>
      </c>
      <c r="F24" s="189" t="s">
        <v>573</v>
      </c>
      <c r="G24" s="168"/>
      <c r="H24" s="171"/>
      <c r="I24" s="188">
        <v>2</v>
      </c>
      <c r="J24" s="170">
        <f>D24*I24</f>
        <v>0.04</v>
      </c>
    </row>
    <row r="25" spans="1:10" ht="15" customHeight="1" x14ac:dyDescent="0.3">
      <c r="A25" s="168">
        <v>20</v>
      </c>
      <c r="B25" s="225" t="s">
        <v>684</v>
      </c>
      <c r="C25" s="168"/>
      <c r="D25" s="168">
        <v>0.03</v>
      </c>
      <c r="E25" s="168">
        <v>5</v>
      </c>
      <c r="F25" s="189" t="s">
        <v>573</v>
      </c>
      <c r="G25" s="168">
        <v>20</v>
      </c>
      <c r="H25" s="171" t="s">
        <v>573</v>
      </c>
      <c r="I25" s="188">
        <v>2</v>
      </c>
      <c r="J25" s="170">
        <f>D25*I25</f>
        <v>0.06</v>
      </c>
    </row>
    <row r="26" spans="1:10" s="178" customFormat="1" x14ac:dyDescent="0.3">
      <c r="I26" s="338" t="s">
        <v>547</v>
      </c>
      <c r="J26" s="337">
        <f>SUM(J24:J25)</f>
        <v>0.1</v>
      </c>
    </row>
  </sheetData>
  <pageMargins left="0.5" right="0.5" top="0.75" bottom="0.75" header="0.3" footer="0.3"/>
  <pageSetup paperSize="9" scale="67" orientation="landscape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2.44140625" style="161" customWidth="1"/>
    <col min="2" max="2" width="22.66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4.66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N11+I17</f>
        <v>2.25882878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866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108</v>
      </c>
      <c r="D4" s="342" t="s">
        <v>541</v>
      </c>
      <c r="J4" s="342" t="s">
        <v>538</v>
      </c>
      <c r="M4" s="342" t="s">
        <v>539</v>
      </c>
      <c r="N4" s="336">
        <f>N1*N2</f>
        <v>2.25882878</v>
      </c>
    </row>
    <row r="5" spans="1:14" x14ac:dyDescent="0.3">
      <c r="A5" s="342" t="s">
        <v>537</v>
      </c>
      <c r="B5" s="166" t="s">
        <v>107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720</v>
      </c>
      <c r="C10" s="168" t="s">
        <v>864</v>
      </c>
      <c r="D10" s="170">
        <v>4.2</v>
      </c>
      <c r="E10" s="168">
        <v>22</v>
      </c>
      <c r="F10" s="168" t="s">
        <v>573</v>
      </c>
      <c r="G10" s="168">
        <v>1.5</v>
      </c>
      <c r="H10" s="219" t="s">
        <v>573</v>
      </c>
      <c r="I10" s="269" t="s">
        <v>923</v>
      </c>
      <c r="J10" s="227">
        <f>E10*G10/1000000</f>
        <v>3.3000000000000003E-5</v>
      </c>
      <c r="K10" s="219">
        <v>0.13</v>
      </c>
      <c r="L10" s="219">
        <v>2710</v>
      </c>
      <c r="M10" s="339">
        <v>1</v>
      </c>
      <c r="N10" s="322">
        <f>IF(J10="",D10*M10,D10*J10*K10*L10*M10)</f>
        <v>4.8828780000000009E-2</v>
      </c>
    </row>
    <row r="11" spans="1:14" s="178" customFormat="1" x14ac:dyDescent="0.3">
      <c r="M11" s="338" t="s">
        <v>547</v>
      </c>
      <c r="N11" s="337">
        <f>SUM(N10:N10)</f>
        <v>4.8828780000000009E-2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s="178" customFormat="1" ht="28.8" x14ac:dyDescent="0.3">
      <c r="A14" s="171">
        <v>10</v>
      </c>
      <c r="B14" s="315" t="s">
        <v>589</v>
      </c>
      <c r="C14" s="171"/>
      <c r="D14" s="323">
        <v>1.3</v>
      </c>
      <c r="E14" s="171" t="s">
        <v>556</v>
      </c>
      <c r="F14" s="171">
        <v>1</v>
      </c>
      <c r="G14" s="171"/>
      <c r="H14" s="171"/>
      <c r="I14" s="323">
        <f>IF('EN 03007'!$H14&lt;&gt;"",'EN 03007'!$D14*'EN 03007'!$F14*'EN 03007'!$H14,'EN 03007'!$D14*'EN 03007'!$F14)</f>
        <v>1.3</v>
      </c>
    </row>
    <row r="15" spans="1:14" ht="28.8" x14ac:dyDescent="0.3">
      <c r="A15" s="168">
        <v>20</v>
      </c>
      <c r="B15" s="171" t="s">
        <v>591</v>
      </c>
      <c r="C15" s="171"/>
      <c r="D15" s="323">
        <v>0.01</v>
      </c>
      <c r="E15" s="168" t="s">
        <v>593</v>
      </c>
      <c r="F15" s="168">
        <v>16</v>
      </c>
      <c r="G15" s="180" t="s">
        <v>723</v>
      </c>
      <c r="H15" s="358">
        <v>1</v>
      </c>
      <c r="I15" s="323">
        <f>IF('EN 03007'!$H15&lt;&gt;"",'EN 03007'!$D15*'EN 03007'!$F15*'EN 03007'!$H15,'EN 03007'!$D15*'EN 03007'!$F15)</f>
        <v>0.16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3</v>
      </c>
      <c r="G16" s="168"/>
      <c r="H16" s="168"/>
      <c r="I16" s="322">
        <f>IF('EN 03007'!$H16&lt;&gt;"",'EN 03007'!$D16*'EN 03007'!$F16*'EN 03007'!$H16,'EN 03007'!$D16*'EN 03007'!$F16)</f>
        <v>0.75</v>
      </c>
    </row>
    <row r="17" spans="8:9" s="178" customFormat="1" x14ac:dyDescent="0.3">
      <c r="H17" s="338" t="s">
        <v>547</v>
      </c>
      <c r="I17" s="337">
        <f>SUM(I14:I16)</f>
        <v>2.21</v>
      </c>
    </row>
  </sheetData>
  <pageMargins left="0.5" right="0.5" top="0.75" bottom="0.75" header="0.3" footer="0.3"/>
  <pageSetup paperSize="9" scale="66" orientation="landscape"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5"/>
  <sheetViews>
    <sheetView showGridLines="0" workbookViewId="0"/>
  </sheetViews>
  <sheetFormatPr defaultColWidth="9.109375" defaultRowHeight="14.4" x14ac:dyDescent="0.3"/>
  <cols>
    <col min="1" max="1" width="9.6640625" style="161" bestFit="1" customWidth="1"/>
    <col min="2" max="2" width="31.5546875" style="161" customWidth="1"/>
    <col min="3" max="3" width="16.88671875" style="161" customWidth="1"/>
    <col min="4" max="4" width="10.44140625" style="161" customWidth="1"/>
    <col min="5" max="5" width="11.33203125" style="161" customWidth="1"/>
    <col min="6" max="6" width="9.6640625" style="161" customWidth="1"/>
    <col min="7" max="7" width="19.5546875" style="161" customWidth="1"/>
    <col min="8" max="8" width="10.664062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164">
        <f>N11+I15</f>
        <v>3.9146000000000001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866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869</v>
      </c>
      <c r="D4" s="342" t="s">
        <v>541</v>
      </c>
      <c r="J4" s="342" t="s">
        <v>538</v>
      </c>
      <c r="M4" s="342" t="s">
        <v>539</v>
      </c>
      <c r="N4" s="164">
        <f>N1*N2</f>
        <v>3.9146000000000001</v>
      </c>
    </row>
    <row r="5" spans="1:14" x14ac:dyDescent="0.3">
      <c r="A5" s="342" t="s">
        <v>537</v>
      </c>
      <c r="B5" s="166" t="s">
        <v>925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161" t="s">
        <v>927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720</v>
      </c>
      <c r="C10" s="168" t="s">
        <v>926</v>
      </c>
      <c r="D10" s="170">
        <v>4.2</v>
      </c>
      <c r="E10" s="168">
        <v>600</v>
      </c>
      <c r="F10" s="168" t="s">
        <v>573</v>
      </c>
      <c r="G10" s="168">
        <v>500</v>
      </c>
      <c r="H10" s="219" t="s">
        <v>573</v>
      </c>
      <c r="I10" s="269" t="s">
        <v>924</v>
      </c>
      <c r="J10" s="227">
        <f>E10*G10/1000000</f>
        <v>0.3</v>
      </c>
      <c r="K10" s="227">
        <v>1E-3</v>
      </c>
      <c r="L10" s="219">
        <v>2710</v>
      </c>
      <c r="M10" s="339">
        <v>1</v>
      </c>
      <c r="N10" s="223">
        <f>IF(J10="",D10*M10,D10*J10*K10*L10*M10)</f>
        <v>3.4146000000000001</v>
      </c>
    </row>
    <row r="11" spans="1:14" s="178" customFormat="1" x14ac:dyDescent="0.3">
      <c r="M11" s="338" t="s">
        <v>547</v>
      </c>
      <c r="N11" s="337">
        <f>SUM(N10:N10)</f>
        <v>3.4146000000000001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7" customHeight="1" x14ac:dyDescent="0.3">
      <c r="A14" s="168">
        <v>10</v>
      </c>
      <c r="B14" s="180" t="s">
        <v>702</v>
      </c>
      <c r="C14" s="168"/>
      <c r="D14" s="382">
        <v>0.25</v>
      </c>
      <c r="E14" s="180" t="s">
        <v>704</v>
      </c>
      <c r="F14" s="168">
        <v>2</v>
      </c>
      <c r="G14" s="168"/>
      <c r="H14" s="168"/>
      <c r="I14" s="170">
        <f>F14*D14</f>
        <v>0.5</v>
      </c>
    </row>
    <row r="15" spans="1:14" s="178" customFormat="1" x14ac:dyDescent="0.3">
      <c r="H15" s="338" t="s">
        <v>547</v>
      </c>
      <c r="I15" s="337">
        <f>SUM(I14:I14)</f>
        <v>0.5</v>
      </c>
    </row>
  </sheetData>
  <pageMargins left="0.5" right="0.5" top="0.75" bottom="0.75" header="0.3" footer="0.3"/>
  <pageSetup paperSize="9" scale="67" orientation="landscape"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N67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49" style="161" customWidth="1"/>
    <col min="3" max="3" width="36.6640625" style="161" customWidth="1"/>
    <col min="4" max="4" width="11" style="161" bestFit="1" customWidth="1"/>
    <col min="5" max="5" width="12.44140625" style="161" bestFit="1" customWidth="1"/>
    <col min="6" max="6" width="9.6640625" style="161" customWidth="1"/>
    <col min="7" max="7" width="10.44140625" style="161" bestFit="1" customWidth="1"/>
    <col min="8" max="8" width="15.1093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3.44140625" style="161" customWidth="1"/>
    <col min="14" max="14" width="14.5546875" style="161" bestFit="1" customWidth="1"/>
    <col min="15" max="16384" width="9.109375" style="161"/>
  </cols>
  <sheetData>
    <row r="1" spans="1:14" x14ac:dyDescent="0.3">
      <c r="A1" s="335" t="s">
        <v>523</v>
      </c>
      <c r="B1" s="161" t="s">
        <v>524</v>
      </c>
      <c r="J1" s="335" t="s">
        <v>528</v>
      </c>
      <c r="K1" s="163">
        <v>81</v>
      </c>
      <c r="M1" s="335" t="s">
        <v>531</v>
      </c>
      <c r="N1" s="336">
        <f>E14+N31+I51+J63+I67</f>
        <v>412.63251888266655</v>
      </c>
    </row>
    <row r="2" spans="1:14" x14ac:dyDescent="0.3">
      <c r="A2" s="335" t="s">
        <v>532</v>
      </c>
      <c r="B2" s="161" t="s">
        <v>780</v>
      </c>
      <c r="M2" s="335" t="s">
        <v>533</v>
      </c>
      <c r="N2" s="165">
        <v>1</v>
      </c>
    </row>
    <row r="3" spans="1:14" x14ac:dyDescent="0.3">
      <c r="A3" s="335" t="s">
        <v>534</v>
      </c>
      <c r="B3" s="161" t="s">
        <v>928</v>
      </c>
      <c r="J3" s="335" t="s">
        <v>536</v>
      </c>
    </row>
    <row r="4" spans="1:14" x14ac:dyDescent="0.3">
      <c r="A4" s="335" t="s">
        <v>537</v>
      </c>
      <c r="B4" s="166" t="s">
        <v>109</v>
      </c>
      <c r="J4" s="335" t="s">
        <v>538</v>
      </c>
      <c r="M4" s="335" t="s">
        <v>539</v>
      </c>
      <c r="N4" s="336">
        <f>N1*N2</f>
        <v>412.63251888266655</v>
      </c>
    </row>
    <row r="5" spans="1:14" x14ac:dyDescent="0.3">
      <c r="A5" s="335" t="s">
        <v>540</v>
      </c>
      <c r="B5" s="161" t="s">
        <v>36</v>
      </c>
      <c r="J5" s="335" t="s">
        <v>541</v>
      </c>
    </row>
    <row r="6" spans="1:14" x14ac:dyDescent="0.3">
      <c r="A6" s="335" t="s">
        <v>542</v>
      </c>
      <c r="B6" s="161" t="s">
        <v>929</v>
      </c>
    </row>
    <row r="8" spans="1:14" x14ac:dyDescent="0.3">
      <c r="A8" s="324" t="s">
        <v>544</v>
      </c>
      <c r="B8" s="324" t="s">
        <v>545</v>
      </c>
      <c r="C8" s="324" t="s">
        <v>546</v>
      </c>
      <c r="D8" s="324" t="s">
        <v>28</v>
      </c>
      <c r="E8" s="324" t="s">
        <v>547</v>
      </c>
    </row>
    <row r="9" spans="1:14" x14ac:dyDescent="0.3">
      <c r="A9" s="168">
        <v>10</v>
      </c>
      <c r="B9" s="168" t="s">
        <v>112</v>
      </c>
      <c r="C9" s="323">
        <f>'EN 04001'!N1</f>
        <v>12.164163333333331</v>
      </c>
      <c r="D9" s="215">
        <v>1</v>
      </c>
      <c r="E9" s="322">
        <f>C9*D9</f>
        <v>12.164163333333331</v>
      </c>
    </row>
    <row r="10" spans="1:14" x14ac:dyDescent="0.3">
      <c r="A10" s="168">
        <v>20</v>
      </c>
      <c r="B10" s="168" t="s">
        <v>930</v>
      </c>
      <c r="C10" s="323">
        <f>'EN 04002'!N4</f>
        <v>2.1413055999999999</v>
      </c>
      <c r="D10" s="215">
        <v>2</v>
      </c>
      <c r="E10" s="322">
        <f>C10*D10</f>
        <v>4.2826111999999998</v>
      </c>
    </row>
    <row r="11" spans="1:14" x14ac:dyDescent="0.3">
      <c r="A11" s="168">
        <v>30</v>
      </c>
      <c r="B11" s="168" t="s">
        <v>931</v>
      </c>
      <c r="C11" s="323">
        <f>'EN 04003'!N4</f>
        <v>1.8932818</v>
      </c>
      <c r="D11" s="215">
        <v>1</v>
      </c>
      <c r="E11" s="322">
        <f>C11*D11</f>
        <v>1.8932818</v>
      </c>
    </row>
    <row r="12" spans="1:14" x14ac:dyDescent="0.3">
      <c r="A12" s="168">
        <v>40</v>
      </c>
      <c r="B12" s="168" t="s">
        <v>932</v>
      </c>
      <c r="C12" s="323">
        <f>'EN 04004'!N4</f>
        <v>1.853241344</v>
      </c>
      <c r="D12" s="215">
        <v>1</v>
      </c>
      <c r="E12" s="322">
        <f>C12*D12</f>
        <v>1.853241344</v>
      </c>
    </row>
    <row r="13" spans="1:14" x14ac:dyDescent="0.3">
      <c r="A13" s="168">
        <v>50</v>
      </c>
      <c r="B13" s="168" t="s">
        <v>933</v>
      </c>
      <c r="C13" s="323">
        <f>'EN 04005'!N4</f>
        <v>2.9358878720000003</v>
      </c>
      <c r="D13" s="215">
        <v>1</v>
      </c>
      <c r="E13" s="322">
        <f>C13*D13</f>
        <v>2.9358878720000003</v>
      </c>
    </row>
    <row r="14" spans="1:14" x14ac:dyDescent="0.3">
      <c r="D14" s="321" t="s">
        <v>547</v>
      </c>
      <c r="E14" s="320">
        <f>SUM(E9:E13)</f>
        <v>23.129185549333336</v>
      </c>
    </row>
    <row r="16" spans="1:14" x14ac:dyDescent="0.3">
      <c r="A16" s="324" t="s">
        <v>544</v>
      </c>
      <c r="B16" s="324" t="s">
        <v>581</v>
      </c>
      <c r="C16" s="324" t="s">
        <v>549</v>
      </c>
      <c r="D16" s="324" t="s">
        <v>550</v>
      </c>
      <c r="E16" s="324" t="s">
        <v>567</v>
      </c>
      <c r="F16" s="324" t="s">
        <v>568</v>
      </c>
      <c r="G16" s="324" t="s">
        <v>569</v>
      </c>
      <c r="H16" s="324" t="s">
        <v>570</v>
      </c>
      <c r="I16" s="324" t="s">
        <v>582</v>
      </c>
      <c r="J16" s="324" t="s">
        <v>583</v>
      </c>
      <c r="K16" s="324" t="s">
        <v>584</v>
      </c>
      <c r="L16" s="324" t="s">
        <v>585</v>
      </c>
      <c r="M16" s="324" t="s">
        <v>28</v>
      </c>
      <c r="N16" s="324" t="s">
        <v>547</v>
      </c>
    </row>
    <row r="17" spans="1:14" x14ac:dyDescent="0.3">
      <c r="A17" s="168">
        <v>10</v>
      </c>
      <c r="B17" s="168" t="s">
        <v>934</v>
      </c>
      <c r="C17" s="168"/>
      <c r="D17" s="323">
        <v>8</v>
      </c>
      <c r="E17" s="168"/>
      <c r="F17" s="168"/>
      <c r="G17" s="168"/>
      <c r="H17" s="219"/>
      <c r="I17" s="220"/>
      <c r="J17" s="221"/>
      <c r="K17" s="219"/>
      <c r="L17" s="219"/>
      <c r="M17" s="332">
        <v>1</v>
      </c>
      <c r="N17" s="322">
        <f t="shared" ref="N17:N30" si="0">IF(J17="",D17*M17,D17*J17*K17*L17*M17)</f>
        <v>8</v>
      </c>
    </row>
    <row r="18" spans="1:14" x14ac:dyDescent="0.3">
      <c r="A18" s="168">
        <v>20</v>
      </c>
      <c r="B18" s="168" t="s">
        <v>935</v>
      </c>
      <c r="C18" s="168"/>
      <c r="D18" s="323">
        <v>10</v>
      </c>
      <c r="E18" s="168"/>
      <c r="F18" s="168"/>
      <c r="G18" s="168"/>
      <c r="H18" s="219"/>
      <c r="I18" s="331"/>
      <c r="J18" s="221"/>
      <c r="K18" s="219"/>
      <c r="L18" s="227"/>
      <c r="M18" s="332">
        <v>4</v>
      </c>
      <c r="N18" s="322">
        <f t="shared" si="0"/>
        <v>40</v>
      </c>
    </row>
    <row r="19" spans="1:14" x14ac:dyDescent="0.3">
      <c r="A19" s="168">
        <v>30</v>
      </c>
      <c r="B19" s="168" t="s">
        <v>936</v>
      </c>
      <c r="C19" s="168"/>
      <c r="D19" s="323">
        <v>35</v>
      </c>
      <c r="E19" s="168"/>
      <c r="F19" s="168"/>
      <c r="G19" s="168"/>
      <c r="H19" s="219"/>
      <c r="I19" s="331"/>
      <c r="J19" s="221"/>
      <c r="K19" s="219"/>
      <c r="L19" s="219"/>
      <c r="M19" s="332">
        <v>1</v>
      </c>
      <c r="N19" s="322">
        <f t="shared" si="0"/>
        <v>35</v>
      </c>
    </row>
    <row r="20" spans="1:14" x14ac:dyDescent="0.3">
      <c r="A20" s="168">
        <v>40</v>
      </c>
      <c r="B20" s="168" t="s">
        <v>937</v>
      </c>
      <c r="C20" s="168"/>
      <c r="D20" s="323">
        <v>15</v>
      </c>
      <c r="E20" s="168"/>
      <c r="F20" s="168"/>
      <c r="G20" s="168"/>
      <c r="H20" s="219"/>
      <c r="I20" s="331"/>
      <c r="J20" s="221"/>
      <c r="K20" s="219"/>
      <c r="L20" s="219"/>
      <c r="M20" s="332">
        <v>1</v>
      </c>
      <c r="N20" s="322">
        <f t="shared" si="0"/>
        <v>15</v>
      </c>
    </row>
    <row r="21" spans="1:14" ht="15" customHeight="1" x14ac:dyDescent="0.3">
      <c r="A21" s="168">
        <v>50</v>
      </c>
      <c r="B21" s="256" t="s">
        <v>938</v>
      </c>
      <c r="C21" s="168"/>
      <c r="D21" s="323">
        <v>35.200000000000003</v>
      </c>
      <c r="E21" s="168">
        <v>14.2</v>
      </c>
      <c r="F21" s="168" t="s">
        <v>573</v>
      </c>
      <c r="G21" s="168"/>
      <c r="H21" s="219"/>
      <c r="I21" s="331"/>
      <c r="J21" s="221"/>
      <c r="K21" s="219"/>
      <c r="L21" s="219"/>
      <c r="M21" s="332">
        <v>0.95</v>
      </c>
      <c r="N21" s="322">
        <f t="shared" si="0"/>
        <v>33.44</v>
      </c>
    </row>
    <row r="22" spans="1:14" x14ac:dyDescent="0.3">
      <c r="A22" s="168">
        <v>60</v>
      </c>
      <c r="B22" s="168" t="s">
        <v>939</v>
      </c>
      <c r="C22" s="168"/>
      <c r="D22" s="323">
        <v>11.83</v>
      </c>
      <c r="E22" s="168">
        <v>14.2</v>
      </c>
      <c r="F22" s="386" t="s">
        <v>573</v>
      </c>
      <c r="G22" s="168">
        <v>14.2</v>
      </c>
      <c r="H22" s="219" t="s">
        <v>573</v>
      </c>
      <c r="I22" s="331"/>
      <c r="J22" s="221"/>
      <c r="K22" s="219"/>
      <c r="L22" s="219"/>
      <c r="M22" s="332">
        <v>1</v>
      </c>
      <c r="N22" s="322">
        <f t="shared" si="0"/>
        <v>11.83</v>
      </c>
    </row>
    <row r="23" spans="1:14" x14ac:dyDescent="0.3">
      <c r="A23" s="168">
        <v>70</v>
      </c>
      <c r="B23" s="168" t="s">
        <v>898</v>
      </c>
      <c r="C23" s="168"/>
      <c r="D23" s="323">
        <v>7.2</v>
      </c>
      <c r="E23" s="168">
        <v>14.2</v>
      </c>
      <c r="F23" s="386" t="s">
        <v>573</v>
      </c>
      <c r="G23" s="168"/>
      <c r="H23" s="219"/>
      <c r="I23" s="331"/>
      <c r="J23" s="221"/>
      <c r="K23" s="219"/>
      <c r="L23" s="219"/>
      <c r="M23" s="332">
        <v>1</v>
      </c>
      <c r="N23" s="322">
        <f t="shared" si="0"/>
        <v>7.2</v>
      </c>
    </row>
    <row r="24" spans="1:14" x14ac:dyDescent="0.3">
      <c r="A24" s="168">
        <v>80</v>
      </c>
      <c r="B24" s="168" t="s">
        <v>940</v>
      </c>
      <c r="C24" s="168"/>
      <c r="D24" s="323">
        <v>26.58</v>
      </c>
      <c r="E24" s="168">
        <v>14.2</v>
      </c>
      <c r="F24" s="386" t="s">
        <v>573</v>
      </c>
      <c r="G24" s="168"/>
      <c r="H24" s="219"/>
      <c r="I24" s="331"/>
      <c r="J24" s="221"/>
      <c r="K24" s="219"/>
      <c r="L24" s="219"/>
      <c r="M24" s="332">
        <v>3</v>
      </c>
      <c r="N24" s="322">
        <f t="shared" si="0"/>
        <v>79.739999999999995</v>
      </c>
    </row>
    <row r="25" spans="1:14" x14ac:dyDescent="0.3">
      <c r="A25" s="168">
        <v>90</v>
      </c>
      <c r="B25" s="168" t="s">
        <v>941</v>
      </c>
      <c r="C25" s="168"/>
      <c r="D25" s="323">
        <v>12.67</v>
      </c>
      <c r="E25" s="168">
        <v>14.2</v>
      </c>
      <c r="F25" s="386" t="s">
        <v>573</v>
      </c>
      <c r="G25" s="168"/>
      <c r="H25" s="219"/>
      <c r="I25" s="331"/>
      <c r="J25" s="221"/>
      <c r="K25" s="219"/>
      <c r="L25" s="219"/>
      <c r="M25" s="332">
        <v>6</v>
      </c>
      <c r="N25" s="322">
        <f t="shared" si="0"/>
        <v>76.02</v>
      </c>
    </row>
    <row r="26" spans="1:14" x14ac:dyDescent="0.3">
      <c r="A26" s="168">
        <v>100</v>
      </c>
      <c r="B26" s="168" t="s">
        <v>942</v>
      </c>
      <c r="C26" s="168"/>
      <c r="D26" s="323">
        <v>2.3199999999999998</v>
      </c>
      <c r="E26" s="168">
        <v>6.35</v>
      </c>
      <c r="F26" s="386" t="s">
        <v>573</v>
      </c>
      <c r="G26" s="168">
        <v>14.2</v>
      </c>
      <c r="H26" s="219" t="s">
        <v>573</v>
      </c>
      <c r="I26" s="331"/>
      <c r="J26" s="221"/>
      <c r="K26" s="219"/>
      <c r="L26" s="219"/>
      <c r="M26" s="332">
        <v>4</v>
      </c>
      <c r="N26" s="322">
        <f t="shared" si="0"/>
        <v>9.2799999999999994</v>
      </c>
    </row>
    <row r="27" spans="1:14" x14ac:dyDescent="0.3">
      <c r="A27" s="168">
        <v>110</v>
      </c>
      <c r="B27" s="168" t="s">
        <v>943</v>
      </c>
      <c r="C27" s="168"/>
      <c r="D27" s="323">
        <v>27.21</v>
      </c>
      <c r="E27" s="168">
        <v>14.2</v>
      </c>
      <c r="F27" s="386" t="s">
        <v>573</v>
      </c>
      <c r="G27" s="168">
        <v>14.2</v>
      </c>
      <c r="H27" s="219" t="s">
        <v>573</v>
      </c>
      <c r="I27" s="331"/>
      <c r="J27" s="221"/>
      <c r="K27" s="219"/>
      <c r="L27" s="219"/>
      <c r="M27" s="332">
        <v>1</v>
      </c>
      <c r="N27" s="322">
        <f t="shared" si="0"/>
        <v>27.21</v>
      </c>
    </row>
    <row r="28" spans="1:14" x14ac:dyDescent="0.3">
      <c r="A28" s="168">
        <v>120</v>
      </c>
      <c r="B28" s="168" t="s">
        <v>630</v>
      </c>
      <c r="C28" s="168"/>
      <c r="D28" s="323">
        <v>15.7</v>
      </c>
      <c r="E28" s="168">
        <v>14.2</v>
      </c>
      <c r="F28" s="386" t="s">
        <v>573</v>
      </c>
      <c r="G28" s="168"/>
      <c r="H28" s="219"/>
      <c r="I28" s="331"/>
      <c r="J28" s="221"/>
      <c r="K28" s="219"/>
      <c r="L28" s="219"/>
      <c r="M28" s="332">
        <v>1</v>
      </c>
      <c r="N28" s="322">
        <f t="shared" si="0"/>
        <v>15.7</v>
      </c>
    </row>
    <row r="29" spans="1:14" x14ac:dyDescent="0.3">
      <c r="A29" s="168">
        <v>130</v>
      </c>
      <c r="B29" s="168" t="s">
        <v>944</v>
      </c>
      <c r="C29" s="168"/>
      <c r="D29" s="323">
        <v>3.88</v>
      </c>
      <c r="E29" s="168">
        <v>14.2</v>
      </c>
      <c r="F29" s="386" t="s">
        <v>573</v>
      </c>
      <c r="G29" s="168"/>
      <c r="H29" s="219"/>
      <c r="I29" s="331"/>
      <c r="J29" s="221"/>
      <c r="K29" s="219"/>
      <c r="L29" s="219"/>
      <c r="M29" s="332">
        <v>1</v>
      </c>
      <c r="N29" s="322">
        <f t="shared" si="0"/>
        <v>3.88</v>
      </c>
    </row>
    <row r="30" spans="1:14" x14ac:dyDescent="0.3">
      <c r="A30" s="168">
        <v>140</v>
      </c>
      <c r="B30" s="168" t="s">
        <v>945</v>
      </c>
      <c r="C30" s="168" t="s">
        <v>946</v>
      </c>
      <c r="D30" s="323">
        <v>0.05</v>
      </c>
      <c r="E30" s="168"/>
      <c r="F30" s="386"/>
      <c r="G30" s="168"/>
      <c r="H30" s="219"/>
      <c r="I30" s="331"/>
      <c r="J30" s="221"/>
      <c r="K30" s="219"/>
      <c r="L30" s="219"/>
      <c r="M30" s="332">
        <v>16</v>
      </c>
      <c r="N30" s="322">
        <f t="shared" si="0"/>
        <v>0.8</v>
      </c>
    </row>
    <row r="31" spans="1:14" s="178" customFormat="1" x14ac:dyDescent="0.3">
      <c r="M31" s="321" t="s">
        <v>547</v>
      </c>
      <c r="N31" s="320">
        <f>SUM(N17:N30)</f>
        <v>363.09999999999991</v>
      </c>
    </row>
    <row r="33" spans="1:9" s="178" customFormat="1" x14ac:dyDescent="0.3">
      <c r="A33" s="324" t="s">
        <v>544</v>
      </c>
      <c r="B33" s="324" t="s">
        <v>548</v>
      </c>
      <c r="C33" s="324" t="s">
        <v>549</v>
      </c>
      <c r="D33" s="324" t="s">
        <v>550</v>
      </c>
      <c r="E33" s="324" t="s">
        <v>551</v>
      </c>
      <c r="F33" s="324" t="s">
        <v>28</v>
      </c>
      <c r="G33" s="324" t="s">
        <v>552</v>
      </c>
      <c r="H33" s="324" t="s">
        <v>553</v>
      </c>
      <c r="I33" s="324" t="s">
        <v>547</v>
      </c>
    </row>
    <row r="34" spans="1:9" s="178" customFormat="1" x14ac:dyDescent="0.3">
      <c r="A34" s="168">
        <v>10</v>
      </c>
      <c r="B34" s="168" t="s">
        <v>650</v>
      </c>
      <c r="C34" s="168" t="s">
        <v>874</v>
      </c>
      <c r="D34" s="323">
        <v>0.15</v>
      </c>
      <c r="E34" s="168" t="s">
        <v>593</v>
      </c>
      <c r="F34" s="168">
        <v>6</v>
      </c>
      <c r="G34" s="180"/>
      <c r="H34" s="180"/>
      <c r="I34" s="323">
        <f>F34*D34</f>
        <v>0.89999999999999991</v>
      </c>
    </row>
    <row r="35" spans="1:9" x14ac:dyDescent="0.3">
      <c r="A35" s="168">
        <v>20</v>
      </c>
      <c r="B35" s="315" t="s">
        <v>760</v>
      </c>
      <c r="C35" s="171" t="s">
        <v>947</v>
      </c>
      <c r="D35" s="323">
        <v>0.19</v>
      </c>
      <c r="E35" s="168" t="s">
        <v>556</v>
      </c>
      <c r="F35" s="168">
        <v>10</v>
      </c>
      <c r="G35" s="168"/>
      <c r="H35" s="168"/>
      <c r="I35" s="323">
        <f>F35*D35</f>
        <v>1.9</v>
      </c>
    </row>
    <row r="36" spans="1:9" x14ac:dyDescent="0.3">
      <c r="A36" s="168">
        <v>30</v>
      </c>
      <c r="B36" s="180" t="s">
        <v>557</v>
      </c>
      <c r="C36" s="171" t="s">
        <v>948</v>
      </c>
      <c r="D36" s="323">
        <v>0.06</v>
      </c>
      <c r="E36" s="168" t="s">
        <v>556</v>
      </c>
      <c r="F36" s="168">
        <v>1</v>
      </c>
      <c r="G36" s="168"/>
      <c r="H36" s="168"/>
      <c r="I36" s="323">
        <f t="shared" ref="I36:I50" si="1">F36*D36</f>
        <v>0.06</v>
      </c>
    </row>
    <row r="37" spans="1:9" x14ac:dyDescent="0.3">
      <c r="A37" s="168">
        <v>40</v>
      </c>
      <c r="B37" s="349" t="s">
        <v>659</v>
      </c>
      <c r="C37" s="171" t="s">
        <v>949</v>
      </c>
      <c r="D37" s="323">
        <v>0.5</v>
      </c>
      <c r="E37" s="168" t="s">
        <v>556</v>
      </c>
      <c r="F37" s="168">
        <v>2</v>
      </c>
      <c r="G37" s="168"/>
      <c r="H37" s="168"/>
      <c r="I37" s="323">
        <f t="shared" si="1"/>
        <v>1</v>
      </c>
    </row>
    <row r="38" spans="1:9" x14ac:dyDescent="0.3">
      <c r="A38" s="168">
        <v>50</v>
      </c>
      <c r="B38" s="180" t="s">
        <v>660</v>
      </c>
      <c r="C38" s="171" t="s">
        <v>950</v>
      </c>
      <c r="D38" s="323">
        <v>0.25</v>
      </c>
      <c r="E38" s="168" t="s">
        <v>556</v>
      </c>
      <c r="F38" s="168">
        <v>2</v>
      </c>
      <c r="G38" s="168"/>
      <c r="H38" s="168"/>
      <c r="I38" s="323">
        <f t="shared" si="1"/>
        <v>0.5</v>
      </c>
    </row>
    <row r="39" spans="1:9" x14ac:dyDescent="0.3">
      <c r="A39" s="168">
        <v>60</v>
      </c>
      <c r="B39" s="180" t="s">
        <v>557</v>
      </c>
      <c r="C39" s="171" t="s">
        <v>951</v>
      </c>
      <c r="D39" s="323">
        <v>0.06</v>
      </c>
      <c r="E39" s="168" t="s">
        <v>556</v>
      </c>
      <c r="F39" s="168">
        <v>1</v>
      </c>
      <c r="G39" s="168"/>
      <c r="H39" s="168"/>
      <c r="I39" s="323">
        <f t="shared" si="1"/>
        <v>0.06</v>
      </c>
    </row>
    <row r="40" spans="1:9" x14ac:dyDescent="0.3">
      <c r="A40" s="168">
        <v>70</v>
      </c>
      <c r="B40" s="349" t="s">
        <v>659</v>
      </c>
      <c r="C40" s="171" t="s">
        <v>949</v>
      </c>
      <c r="D40" s="323">
        <v>0.5</v>
      </c>
      <c r="E40" s="168" t="s">
        <v>556</v>
      </c>
      <c r="F40" s="168">
        <v>2</v>
      </c>
      <c r="G40" s="168"/>
      <c r="H40" s="168"/>
      <c r="I40" s="323">
        <f t="shared" si="1"/>
        <v>1</v>
      </c>
    </row>
    <row r="41" spans="1:9" x14ac:dyDescent="0.3">
      <c r="A41" s="168">
        <v>80</v>
      </c>
      <c r="B41" s="180" t="s">
        <v>660</v>
      </c>
      <c r="C41" s="171" t="s">
        <v>950</v>
      </c>
      <c r="D41" s="323">
        <v>0.25</v>
      </c>
      <c r="E41" s="168" t="s">
        <v>556</v>
      </c>
      <c r="F41" s="168">
        <v>2</v>
      </c>
      <c r="G41" s="168"/>
      <c r="H41" s="168"/>
      <c r="I41" s="323">
        <f t="shared" si="1"/>
        <v>0.5</v>
      </c>
    </row>
    <row r="42" spans="1:9" x14ac:dyDescent="0.3">
      <c r="A42" s="168">
        <v>90</v>
      </c>
      <c r="B42" s="180" t="s">
        <v>557</v>
      </c>
      <c r="C42" s="171" t="s">
        <v>952</v>
      </c>
      <c r="D42" s="323">
        <v>0.06</v>
      </c>
      <c r="E42" s="168" t="s">
        <v>556</v>
      </c>
      <c r="F42" s="168">
        <v>16</v>
      </c>
      <c r="G42" s="168"/>
      <c r="H42" s="168"/>
      <c r="I42" s="323">
        <f t="shared" si="1"/>
        <v>0.96</v>
      </c>
    </row>
    <row r="43" spans="1:9" x14ac:dyDescent="0.3">
      <c r="A43" s="168">
        <v>100</v>
      </c>
      <c r="B43" s="180" t="s">
        <v>557</v>
      </c>
      <c r="C43" s="171" t="s">
        <v>953</v>
      </c>
      <c r="D43" s="323">
        <v>0.06</v>
      </c>
      <c r="E43" s="168" t="s">
        <v>556</v>
      </c>
      <c r="F43" s="168">
        <v>4</v>
      </c>
      <c r="G43" s="168"/>
      <c r="H43" s="168"/>
      <c r="I43" s="323">
        <f t="shared" si="1"/>
        <v>0.24</v>
      </c>
    </row>
    <row r="44" spans="1:9" x14ac:dyDescent="0.3">
      <c r="A44" s="168">
        <v>110</v>
      </c>
      <c r="B44" s="180" t="s">
        <v>954</v>
      </c>
      <c r="C44" s="168" t="s">
        <v>955</v>
      </c>
      <c r="D44" s="387">
        <v>0.02</v>
      </c>
      <c r="E44" s="180" t="s">
        <v>852</v>
      </c>
      <c r="F44" s="168">
        <v>20</v>
      </c>
      <c r="G44" s="168"/>
      <c r="H44" s="168"/>
      <c r="I44" s="323">
        <f t="shared" si="1"/>
        <v>0.4</v>
      </c>
    </row>
    <row r="45" spans="1:9" x14ac:dyDescent="0.3">
      <c r="A45" s="168">
        <v>120</v>
      </c>
      <c r="B45" s="349" t="s">
        <v>659</v>
      </c>
      <c r="C45" s="171" t="s">
        <v>949</v>
      </c>
      <c r="D45" s="323">
        <v>0.5</v>
      </c>
      <c r="E45" s="168" t="s">
        <v>556</v>
      </c>
      <c r="F45" s="168">
        <v>5</v>
      </c>
      <c r="G45" s="168"/>
      <c r="H45" s="168"/>
      <c r="I45" s="323">
        <f t="shared" si="1"/>
        <v>2.5</v>
      </c>
    </row>
    <row r="46" spans="1:9" x14ac:dyDescent="0.3">
      <c r="A46" s="168">
        <v>130</v>
      </c>
      <c r="B46" s="180" t="s">
        <v>557</v>
      </c>
      <c r="C46" s="171" t="s">
        <v>956</v>
      </c>
      <c r="D46" s="323">
        <v>0.06</v>
      </c>
      <c r="E46" s="168" t="s">
        <v>556</v>
      </c>
      <c r="F46" s="168">
        <v>1</v>
      </c>
      <c r="G46" s="168"/>
      <c r="H46" s="168"/>
      <c r="I46" s="323">
        <f t="shared" si="1"/>
        <v>0.06</v>
      </c>
    </row>
    <row r="47" spans="1:9" x14ac:dyDescent="0.3">
      <c r="A47" s="168">
        <v>140</v>
      </c>
      <c r="B47" s="349" t="s">
        <v>659</v>
      </c>
      <c r="C47" s="171" t="s">
        <v>949</v>
      </c>
      <c r="D47" s="323">
        <v>0.5</v>
      </c>
      <c r="E47" s="168" t="s">
        <v>556</v>
      </c>
      <c r="F47" s="168">
        <v>3</v>
      </c>
      <c r="G47" s="168"/>
      <c r="H47" s="168"/>
      <c r="I47" s="323">
        <f t="shared" si="1"/>
        <v>1.5</v>
      </c>
    </row>
    <row r="48" spans="1:9" x14ac:dyDescent="0.3">
      <c r="A48" s="168">
        <v>150</v>
      </c>
      <c r="B48" s="180" t="s">
        <v>557</v>
      </c>
      <c r="C48" s="171" t="s">
        <v>957</v>
      </c>
      <c r="D48" s="323">
        <v>0.06</v>
      </c>
      <c r="E48" s="168" t="s">
        <v>556</v>
      </c>
      <c r="F48" s="168">
        <v>1</v>
      </c>
      <c r="G48" s="168"/>
      <c r="H48" s="168"/>
      <c r="I48" s="323">
        <f t="shared" si="1"/>
        <v>0.06</v>
      </c>
    </row>
    <row r="49" spans="1:10" x14ac:dyDescent="0.3">
      <c r="A49" s="168">
        <v>160</v>
      </c>
      <c r="B49" s="315" t="s">
        <v>559</v>
      </c>
      <c r="C49" s="171" t="s">
        <v>958</v>
      </c>
      <c r="D49" s="323">
        <v>0.75</v>
      </c>
      <c r="E49" s="168" t="s">
        <v>556</v>
      </c>
      <c r="F49" s="168">
        <v>1</v>
      </c>
      <c r="G49" s="168"/>
      <c r="H49" s="168"/>
      <c r="I49" s="323">
        <f t="shared" si="1"/>
        <v>0.75</v>
      </c>
    </row>
    <row r="50" spans="1:10" x14ac:dyDescent="0.3">
      <c r="A50" s="168">
        <v>170</v>
      </c>
      <c r="B50" s="180" t="s">
        <v>674</v>
      </c>
      <c r="C50" s="171" t="s">
        <v>959</v>
      </c>
      <c r="D50" s="323">
        <v>1.5</v>
      </c>
      <c r="E50" s="168" t="s">
        <v>556</v>
      </c>
      <c r="F50" s="168">
        <v>8</v>
      </c>
      <c r="G50" s="168"/>
      <c r="H50" s="168"/>
      <c r="I50" s="323">
        <f t="shared" si="1"/>
        <v>12</v>
      </c>
    </row>
    <row r="51" spans="1:10" s="178" customFormat="1" x14ac:dyDescent="0.3">
      <c r="H51" s="321" t="s">
        <v>547</v>
      </c>
      <c r="I51" s="320">
        <f>SUM(I34:I50)</f>
        <v>24.39</v>
      </c>
    </row>
    <row r="53" spans="1:10" s="178" customFormat="1" x14ac:dyDescent="0.3">
      <c r="A53" s="324" t="s">
        <v>544</v>
      </c>
      <c r="B53" s="324" t="s">
        <v>566</v>
      </c>
      <c r="C53" s="324" t="s">
        <v>549</v>
      </c>
      <c r="D53" s="324" t="s">
        <v>550</v>
      </c>
      <c r="E53" s="324" t="s">
        <v>567</v>
      </c>
      <c r="F53" s="324" t="s">
        <v>568</v>
      </c>
      <c r="G53" s="324" t="s">
        <v>569</v>
      </c>
      <c r="H53" s="324" t="s">
        <v>570</v>
      </c>
      <c r="I53" s="324" t="s">
        <v>28</v>
      </c>
      <c r="J53" s="324" t="s">
        <v>547</v>
      </c>
    </row>
    <row r="54" spans="1:10" x14ac:dyDescent="0.3">
      <c r="A54" s="168">
        <v>10</v>
      </c>
      <c r="B54" s="225" t="s">
        <v>684</v>
      </c>
      <c r="C54" s="168" t="s">
        <v>960</v>
      </c>
      <c r="D54" s="323">
        <v>0.04</v>
      </c>
      <c r="E54" s="168">
        <v>6</v>
      </c>
      <c r="F54" s="245" t="s">
        <v>573</v>
      </c>
      <c r="G54" s="168">
        <v>20</v>
      </c>
      <c r="H54" s="171" t="s">
        <v>573</v>
      </c>
      <c r="I54" s="327">
        <v>2</v>
      </c>
      <c r="J54" s="323">
        <f t="shared" ref="J54:J62" si="2">D54*I54</f>
        <v>0.08</v>
      </c>
    </row>
    <row r="55" spans="1:10" x14ac:dyDescent="0.3">
      <c r="A55" s="168">
        <v>20</v>
      </c>
      <c r="B55" s="356" t="s">
        <v>574</v>
      </c>
      <c r="C55" s="168" t="s">
        <v>961</v>
      </c>
      <c r="D55" s="323">
        <v>0.01</v>
      </c>
      <c r="E55" s="168">
        <v>6</v>
      </c>
      <c r="F55" s="245" t="s">
        <v>573</v>
      </c>
      <c r="G55" s="168"/>
      <c r="H55" s="171"/>
      <c r="I55" s="327">
        <v>4</v>
      </c>
      <c r="J55" s="323">
        <f t="shared" si="2"/>
        <v>0.04</v>
      </c>
    </row>
    <row r="56" spans="1:10" x14ac:dyDescent="0.3">
      <c r="A56" s="168">
        <v>30</v>
      </c>
      <c r="B56" s="388" t="s">
        <v>618</v>
      </c>
      <c r="C56" s="168" t="s">
        <v>962</v>
      </c>
      <c r="D56" s="323">
        <v>0.03</v>
      </c>
      <c r="E56" s="168">
        <v>6</v>
      </c>
      <c r="F56" s="245" t="s">
        <v>573</v>
      </c>
      <c r="G56" s="168"/>
      <c r="H56" s="171"/>
      <c r="I56" s="327">
        <v>2</v>
      </c>
      <c r="J56" s="323">
        <f t="shared" si="2"/>
        <v>0.06</v>
      </c>
    </row>
    <row r="57" spans="1:10" x14ac:dyDescent="0.3">
      <c r="A57" s="168">
        <v>40</v>
      </c>
      <c r="B57" s="389" t="s">
        <v>684</v>
      </c>
      <c r="C57" s="168" t="s">
        <v>963</v>
      </c>
      <c r="D57" s="323">
        <v>0.05</v>
      </c>
      <c r="E57" s="168">
        <v>6</v>
      </c>
      <c r="F57" s="245" t="s">
        <v>573</v>
      </c>
      <c r="G57" s="168">
        <v>25</v>
      </c>
      <c r="H57" s="171" t="s">
        <v>573</v>
      </c>
      <c r="I57" s="327">
        <v>2</v>
      </c>
      <c r="J57" s="323">
        <f t="shared" si="2"/>
        <v>0.1</v>
      </c>
    </row>
    <row r="58" spans="1:10" x14ac:dyDescent="0.3">
      <c r="A58" s="168">
        <v>50</v>
      </c>
      <c r="B58" s="356" t="s">
        <v>574</v>
      </c>
      <c r="C58" s="168" t="s">
        <v>964</v>
      </c>
      <c r="D58" s="323">
        <v>0.01</v>
      </c>
      <c r="E58" s="168">
        <v>6</v>
      </c>
      <c r="F58" s="245" t="s">
        <v>573</v>
      </c>
      <c r="G58" s="168"/>
      <c r="H58" s="171"/>
      <c r="I58" s="327">
        <v>4</v>
      </c>
      <c r="J58" s="323">
        <f t="shared" si="2"/>
        <v>0.04</v>
      </c>
    </row>
    <row r="59" spans="1:10" x14ac:dyDescent="0.3">
      <c r="A59" s="168">
        <v>60</v>
      </c>
      <c r="B59" s="388" t="s">
        <v>618</v>
      </c>
      <c r="C59" s="168" t="s">
        <v>965</v>
      </c>
      <c r="D59" s="323">
        <v>0.03</v>
      </c>
      <c r="E59" s="168">
        <v>6</v>
      </c>
      <c r="F59" s="245" t="s">
        <v>573</v>
      </c>
      <c r="G59" s="168"/>
      <c r="H59" s="171"/>
      <c r="I59" s="327">
        <v>2</v>
      </c>
      <c r="J59" s="323">
        <f t="shared" si="2"/>
        <v>0.06</v>
      </c>
    </row>
    <row r="60" spans="1:10" x14ac:dyDescent="0.3">
      <c r="A60" s="168">
        <v>70</v>
      </c>
      <c r="B60" s="389" t="s">
        <v>684</v>
      </c>
      <c r="C60" s="168" t="s">
        <v>983</v>
      </c>
      <c r="D60" s="323">
        <v>0.05</v>
      </c>
      <c r="E60" s="168">
        <v>6</v>
      </c>
      <c r="F60" s="245" t="s">
        <v>573</v>
      </c>
      <c r="G60" s="168">
        <v>15</v>
      </c>
      <c r="H60" s="171" t="s">
        <v>573</v>
      </c>
      <c r="I60" s="327">
        <v>3</v>
      </c>
      <c r="J60" s="323">
        <f>D60*I60</f>
        <v>0.15000000000000002</v>
      </c>
    </row>
    <row r="61" spans="1:10" x14ac:dyDescent="0.3">
      <c r="A61" s="168">
        <v>80</v>
      </c>
      <c r="B61" s="356" t="s">
        <v>574</v>
      </c>
      <c r="C61" s="168" t="s">
        <v>966</v>
      </c>
      <c r="D61" s="323">
        <v>0.01</v>
      </c>
      <c r="E61" s="168">
        <v>6</v>
      </c>
      <c r="F61" s="245" t="s">
        <v>573</v>
      </c>
      <c r="G61" s="168"/>
      <c r="H61" s="171"/>
      <c r="I61" s="327">
        <v>6</v>
      </c>
      <c r="J61" s="323">
        <f t="shared" si="2"/>
        <v>0.06</v>
      </c>
    </row>
    <row r="62" spans="1:10" x14ac:dyDescent="0.3">
      <c r="A62" s="168">
        <v>90</v>
      </c>
      <c r="B62" s="388" t="s">
        <v>618</v>
      </c>
      <c r="C62" s="168" t="s">
        <v>967</v>
      </c>
      <c r="D62" s="323">
        <v>0.03</v>
      </c>
      <c r="E62" s="168">
        <v>6</v>
      </c>
      <c r="F62" s="245" t="s">
        <v>573</v>
      </c>
      <c r="G62" s="168"/>
      <c r="H62" s="171"/>
      <c r="I62" s="327">
        <v>3</v>
      </c>
      <c r="J62" s="323">
        <f t="shared" si="2"/>
        <v>0.09</v>
      </c>
    </row>
    <row r="63" spans="1:10" s="178" customFormat="1" x14ac:dyDescent="0.3">
      <c r="I63" s="321" t="s">
        <v>547</v>
      </c>
      <c r="J63" s="320">
        <f>SUM(J54:J62)</f>
        <v>0.68</v>
      </c>
    </row>
    <row r="65" spans="1:9" x14ac:dyDescent="0.3">
      <c r="A65" s="324" t="s">
        <v>544</v>
      </c>
      <c r="B65" s="324" t="s">
        <v>6</v>
      </c>
      <c r="C65" s="324" t="s">
        <v>549</v>
      </c>
      <c r="D65" s="324" t="s">
        <v>550</v>
      </c>
      <c r="E65" s="324" t="s">
        <v>551</v>
      </c>
      <c r="F65" s="324" t="s">
        <v>28</v>
      </c>
      <c r="G65" s="324" t="s">
        <v>691</v>
      </c>
      <c r="H65" s="324" t="s">
        <v>736</v>
      </c>
      <c r="I65" s="324" t="s">
        <v>547</v>
      </c>
    </row>
    <row r="66" spans="1:9" x14ac:dyDescent="0.3">
      <c r="A66" s="168">
        <v>10</v>
      </c>
      <c r="B66" s="179" t="s">
        <v>693</v>
      </c>
      <c r="C66" s="168"/>
      <c r="D66" s="323">
        <v>500</v>
      </c>
      <c r="E66" s="168"/>
      <c r="F66" s="168">
        <v>8</v>
      </c>
      <c r="G66" s="168">
        <v>3000</v>
      </c>
      <c r="H66" s="168">
        <v>1</v>
      </c>
      <c r="I66" s="322">
        <f>D66*F66/G66*H66</f>
        <v>1.3333333333333333</v>
      </c>
    </row>
    <row r="67" spans="1:9" x14ac:dyDescent="0.3">
      <c r="A67" s="178"/>
      <c r="B67" s="178"/>
      <c r="C67" s="178"/>
      <c r="D67" s="178"/>
      <c r="E67" s="178"/>
      <c r="F67" s="178"/>
      <c r="G67" s="178"/>
      <c r="H67" s="321" t="s">
        <v>547</v>
      </c>
      <c r="I67" s="354">
        <f>SUM(I66:I66)</f>
        <v>1.3333333333333333</v>
      </c>
    </row>
  </sheetData>
  <pageMargins left="0.5" right="0.5" top="0.75" bottom="0.75" header="0.3" footer="0.3"/>
  <pageSetup paperSize="9" scale="49" orientation="landscape"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8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2.6640625" style="161" customWidth="1"/>
    <col min="3" max="3" width="23.109375" style="161" customWidth="1"/>
    <col min="4" max="4" width="13.5546875" style="161" bestFit="1" customWidth="1"/>
    <col min="5" max="5" width="9.44140625" style="161" customWidth="1"/>
    <col min="6" max="6" width="11.33203125" style="161" customWidth="1"/>
    <col min="7" max="7" width="16.33203125" style="161" customWidth="1"/>
    <col min="8" max="8" width="12.44140625" style="161" customWidth="1"/>
    <col min="9" max="9" width="16.33203125" style="161" customWidth="1"/>
    <col min="10" max="10" width="11.88671875" style="161" customWidth="1"/>
    <col min="11" max="11" width="9.33203125" style="161" customWidth="1"/>
    <col min="12" max="12" width="10.6640625" style="161" customWidth="1"/>
    <col min="13" max="13" width="17.33203125" style="161" customWidth="1"/>
    <col min="14" max="14" width="13.66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N12+I23+I27</f>
        <v>12.164163333333331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928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968</v>
      </c>
      <c r="D4" s="342" t="s">
        <v>541</v>
      </c>
      <c r="J4" s="342" t="s">
        <v>538</v>
      </c>
      <c r="M4" s="342" t="s">
        <v>539</v>
      </c>
      <c r="N4" s="336">
        <f>N1*N2</f>
        <v>12.164163333333331</v>
      </c>
    </row>
    <row r="5" spans="1:14" x14ac:dyDescent="0.3">
      <c r="A5" s="342" t="s">
        <v>537</v>
      </c>
      <c r="B5" s="166" t="s">
        <v>111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606</v>
      </c>
      <c r="C10" s="168" t="s">
        <v>607</v>
      </c>
      <c r="D10" s="323">
        <v>2.25</v>
      </c>
      <c r="E10" s="168">
        <v>16</v>
      </c>
      <c r="F10" s="168" t="s">
        <v>573</v>
      </c>
      <c r="G10" s="168">
        <v>3</v>
      </c>
      <c r="H10" s="219" t="s">
        <v>573</v>
      </c>
      <c r="I10" s="269" t="s">
        <v>969</v>
      </c>
      <c r="J10" s="227">
        <v>1.22E-4</v>
      </c>
      <c r="K10" s="219">
        <v>0.3</v>
      </c>
      <c r="L10" s="219">
        <v>7800</v>
      </c>
      <c r="M10" s="339">
        <v>1</v>
      </c>
      <c r="N10" s="322">
        <f>IF(J10="",D10*M10,D10*J10*K10*L10*M10)</f>
        <v>0.64232999999999996</v>
      </c>
    </row>
    <row r="11" spans="1:14" ht="28.95" customHeight="1" x14ac:dyDescent="0.3">
      <c r="A11" s="168">
        <v>20</v>
      </c>
      <c r="B11" s="168" t="s">
        <v>606</v>
      </c>
      <c r="C11" s="168" t="s">
        <v>607</v>
      </c>
      <c r="D11" s="323">
        <v>2.25</v>
      </c>
      <c r="E11" s="168">
        <v>100</v>
      </c>
      <c r="F11" s="168" t="s">
        <v>573</v>
      </c>
      <c r="G11" s="168">
        <v>30</v>
      </c>
      <c r="H11" s="219" t="s">
        <v>573</v>
      </c>
      <c r="I11" s="269" t="s">
        <v>970</v>
      </c>
      <c r="J11" s="227">
        <f>E11*G11/1000000</f>
        <v>3.0000000000000001E-3</v>
      </c>
      <c r="K11" s="227">
        <v>2E-3</v>
      </c>
      <c r="L11" s="219">
        <v>7800</v>
      </c>
      <c r="M11" s="339">
        <v>1</v>
      </c>
      <c r="N11" s="322">
        <f>IF(J11="",D11*M11,D11*J11*K11*L11*M11)</f>
        <v>0.10529999999999999</v>
      </c>
    </row>
    <row r="12" spans="1:14" s="178" customFormat="1" x14ac:dyDescent="0.3">
      <c r="M12" s="338" t="s">
        <v>547</v>
      </c>
      <c r="N12" s="337">
        <f>SUM(N10:N11)</f>
        <v>0.74762999999999991</v>
      </c>
    </row>
    <row r="14" spans="1:14" s="178" customFormat="1" x14ac:dyDescent="0.3">
      <c r="A14" s="341" t="s">
        <v>544</v>
      </c>
      <c r="B14" s="341" t="s">
        <v>548</v>
      </c>
      <c r="C14" s="341" t="s">
        <v>549</v>
      </c>
      <c r="D14" s="341" t="s">
        <v>550</v>
      </c>
      <c r="E14" s="341" t="s">
        <v>551</v>
      </c>
      <c r="F14" s="341" t="s">
        <v>28</v>
      </c>
      <c r="G14" s="341" t="s">
        <v>552</v>
      </c>
      <c r="H14" s="341" t="s">
        <v>553</v>
      </c>
      <c r="I14" s="341" t="s">
        <v>547</v>
      </c>
    </row>
    <row r="15" spans="1:14" x14ac:dyDescent="0.3">
      <c r="A15" s="168">
        <v>10</v>
      </c>
      <c r="B15" s="348" t="s">
        <v>668</v>
      </c>
      <c r="C15" s="171"/>
      <c r="D15" s="323">
        <v>0.15</v>
      </c>
      <c r="E15" s="168" t="s">
        <v>593</v>
      </c>
      <c r="F15" s="168">
        <v>5</v>
      </c>
      <c r="G15" s="168"/>
      <c r="H15" s="168"/>
      <c r="I15" s="323">
        <f>IF('EN 04001'!$H15&lt;&gt;"",'EN 04001'!$D15*'EN 04001'!$F15*'EN 04001'!$H15,'EN 04001'!$D15*'EN 04001'!$F15)</f>
        <v>0.75</v>
      </c>
    </row>
    <row r="16" spans="1:14" ht="28.8" x14ac:dyDescent="0.3">
      <c r="A16" s="168">
        <v>20</v>
      </c>
      <c r="B16" s="180" t="s">
        <v>589</v>
      </c>
      <c r="C16" s="193" t="s">
        <v>971</v>
      </c>
      <c r="D16" s="323">
        <v>1.3</v>
      </c>
      <c r="E16" s="168" t="s">
        <v>556</v>
      </c>
      <c r="F16" s="168">
        <v>1</v>
      </c>
      <c r="G16" s="168"/>
      <c r="H16" s="168"/>
      <c r="I16" s="322">
        <f>IF('EN 04001'!$H16&lt;&gt;"",'EN 04001'!$D16*'EN 04001'!$F16*'EN 04001'!$H16,'EN 04001'!$D16*'EN 04001'!$F16)</f>
        <v>1.3</v>
      </c>
    </row>
    <row r="17" spans="1:9" ht="28.8" x14ac:dyDescent="0.3">
      <c r="A17" s="168">
        <v>30</v>
      </c>
      <c r="B17" s="350" t="s">
        <v>788</v>
      </c>
      <c r="C17" s="171"/>
      <c r="D17" s="323">
        <v>0.1</v>
      </c>
      <c r="E17" s="168" t="s">
        <v>972</v>
      </c>
      <c r="F17" s="168">
        <v>1.5</v>
      </c>
      <c r="G17" s="168"/>
      <c r="H17" s="168"/>
      <c r="I17" s="322">
        <f>IF('EN 04001'!$H17&lt;&gt;"",'EN 04001'!$D17*'EN 04001'!$F17*'EN 04001'!$H17,'EN 04001'!$D17*'EN 04001'!$F17)</f>
        <v>0.15000000000000002</v>
      </c>
    </row>
    <row r="18" spans="1:9" ht="28.95" customHeight="1" x14ac:dyDescent="0.3">
      <c r="A18" s="168">
        <v>40</v>
      </c>
      <c r="B18" s="180" t="s">
        <v>836</v>
      </c>
      <c r="C18" s="171"/>
      <c r="D18" s="323">
        <v>0.75</v>
      </c>
      <c r="E18" s="168" t="s">
        <v>837</v>
      </c>
      <c r="F18" s="168">
        <v>4</v>
      </c>
      <c r="G18" s="168"/>
      <c r="H18" s="168"/>
      <c r="I18" s="322">
        <f>IF('EN 04001'!$H18&lt;&gt;"",'EN 04001'!$D18*'EN 04001'!$F18*'EN 04001'!$H18,'EN 04001'!$D18*'EN 04001'!$F18)</f>
        <v>3</v>
      </c>
    </row>
    <row r="19" spans="1:9" x14ac:dyDescent="0.3">
      <c r="A19" s="168">
        <v>50</v>
      </c>
      <c r="B19" s="350" t="s">
        <v>838</v>
      </c>
      <c r="C19" s="171"/>
      <c r="D19" s="323">
        <v>0.38</v>
      </c>
      <c r="E19" s="168" t="s">
        <v>593</v>
      </c>
      <c r="F19" s="168">
        <f>0.16*4</f>
        <v>0.64</v>
      </c>
      <c r="G19" s="168"/>
      <c r="H19" s="168"/>
      <c r="I19" s="322">
        <f>IF('EN 04001'!$H19&lt;&gt;"",'EN 04001'!$D19*'EN 04001'!$F19*'EN 04001'!$H19,'EN 04001'!$D19*'EN 04001'!$F19)</f>
        <v>0.2432</v>
      </c>
    </row>
    <row r="20" spans="1:9" ht="28.8" x14ac:dyDescent="0.3">
      <c r="A20" s="168">
        <v>60</v>
      </c>
      <c r="B20" s="180" t="s">
        <v>589</v>
      </c>
      <c r="C20" s="193" t="s">
        <v>973</v>
      </c>
      <c r="D20" s="323">
        <v>1.3</v>
      </c>
      <c r="E20" s="168" t="s">
        <v>556</v>
      </c>
      <c r="F20" s="168">
        <v>1</v>
      </c>
      <c r="G20" s="168"/>
      <c r="H20" s="168"/>
      <c r="I20" s="322">
        <f>IF('EN 04001'!$H20&lt;&gt;"",'EN 04001'!$D20*'EN 04001'!$F20*'EN 04001'!$H20,'EN 04001'!$D20*'EN 04001'!$F20)</f>
        <v>1.3</v>
      </c>
    </row>
    <row r="21" spans="1:9" x14ac:dyDescent="0.3">
      <c r="A21" s="168">
        <v>70</v>
      </c>
      <c r="B21" s="171" t="s">
        <v>700</v>
      </c>
      <c r="C21" s="171"/>
      <c r="D21" s="323">
        <v>0.01</v>
      </c>
      <c r="E21" s="168" t="s">
        <v>593</v>
      </c>
      <c r="F21" s="168">
        <v>18</v>
      </c>
      <c r="G21" s="168" t="s">
        <v>598</v>
      </c>
      <c r="H21" s="168">
        <v>3</v>
      </c>
      <c r="I21" s="322">
        <f>IF('EN 04001'!$H21&lt;&gt;"",'EN 04001'!$D21*'EN 04001'!$F21*'EN 04001'!$H21,'EN 04001'!$D21*'EN 04001'!$F21)</f>
        <v>0.54</v>
      </c>
    </row>
    <row r="22" spans="1:9" x14ac:dyDescent="0.3">
      <c r="A22" s="168">
        <v>80</v>
      </c>
      <c r="B22" s="171" t="s">
        <v>650</v>
      </c>
      <c r="C22" s="171" t="s">
        <v>974</v>
      </c>
      <c r="D22" s="323">
        <v>0.15</v>
      </c>
      <c r="E22" s="168" t="s">
        <v>593</v>
      </c>
      <c r="F22" s="168">
        <v>12</v>
      </c>
      <c r="G22" s="168"/>
      <c r="H22" s="168"/>
      <c r="I22" s="322">
        <f>IF('EN 04001'!$H22&lt;&gt;"",'EN 04001'!$D22*'EN 04001'!$F22*'EN 04001'!$H22,'EN 04001'!$D22*'EN 04001'!$F22)</f>
        <v>1.7999999999999998</v>
      </c>
    </row>
    <row r="23" spans="1:9" s="178" customFormat="1" ht="13.95" customHeight="1" x14ac:dyDescent="0.3">
      <c r="H23" s="338" t="s">
        <v>547</v>
      </c>
      <c r="I23" s="337">
        <f>SUM(I15:I22)</f>
        <v>9.0831999999999979</v>
      </c>
    </row>
    <row r="24" spans="1:9" x14ac:dyDescent="0.3">
      <c r="H24" s="326"/>
      <c r="I24" s="325"/>
    </row>
    <row r="25" spans="1:9" s="178" customFormat="1" x14ac:dyDescent="0.3">
      <c r="A25" s="341" t="s">
        <v>544</v>
      </c>
      <c r="B25" s="341" t="s">
        <v>6</v>
      </c>
      <c r="C25" s="341" t="s">
        <v>549</v>
      </c>
      <c r="D25" s="341" t="s">
        <v>550</v>
      </c>
      <c r="E25" s="341" t="s">
        <v>551</v>
      </c>
      <c r="F25" s="341" t="s">
        <v>28</v>
      </c>
      <c r="G25" s="341" t="s">
        <v>691</v>
      </c>
      <c r="H25" s="341" t="s">
        <v>692</v>
      </c>
      <c r="I25" s="341" t="s">
        <v>547</v>
      </c>
    </row>
    <row r="26" spans="1:9" x14ac:dyDescent="0.3">
      <c r="A26" s="168">
        <v>10</v>
      </c>
      <c r="B26" s="168" t="s">
        <v>693</v>
      </c>
      <c r="C26" s="168"/>
      <c r="D26" s="323">
        <v>500</v>
      </c>
      <c r="E26" s="168" t="s">
        <v>695</v>
      </c>
      <c r="F26" s="168">
        <v>14</v>
      </c>
      <c r="G26" s="168">
        <v>3000</v>
      </c>
      <c r="H26" s="168">
        <v>1</v>
      </c>
      <c r="I26" s="323">
        <f>IF('EN 04001'!$G26&lt;&gt;"",D26*F26/G26*H26,"")</f>
        <v>2.3333333333333335</v>
      </c>
    </row>
    <row r="27" spans="1:9" s="178" customFormat="1" x14ac:dyDescent="0.3">
      <c r="H27" s="338" t="s">
        <v>547</v>
      </c>
      <c r="I27" s="337">
        <f>SUM(I26:I26)</f>
        <v>2.3333333333333335</v>
      </c>
    </row>
    <row r="28" spans="1:9" x14ac:dyDescent="0.3">
      <c r="H28" s="326"/>
      <c r="I28" s="325"/>
    </row>
  </sheetData>
  <pageMargins left="0.5" right="0.5" top="0.75" bottom="0.75" header="0.3" footer="0.3"/>
  <pageSetup paperSize="9" scale="66" orientation="landscape"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2.88671875" style="161" customWidth="1"/>
    <col min="2" max="2" width="21.332031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8.21875" style="161" customWidth="1"/>
    <col min="8" max="8" width="11" style="161" customWidth="1"/>
    <col min="9" max="9" width="16.109375" style="161" customWidth="1"/>
    <col min="10" max="10" width="11" style="161" customWidth="1"/>
    <col min="11" max="11" width="10.44140625" style="161" bestFit="1" customWidth="1"/>
    <col min="12" max="12" width="11.33203125" style="161" bestFit="1" customWidth="1"/>
    <col min="13" max="13" width="16.5546875" style="161" customWidth="1"/>
    <col min="14" max="14" width="13.441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1.0706528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928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930</v>
      </c>
      <c r="D4" s="342" t="s">
        <v>541</v>
      </c>
      <c r="J4" s="342" t="s">
        <v>538</v>
      </c>
      <c r="M4" s="342" t="s">
        <v>539</v>
      </c>
      <c r="N4" s="336">
        <f>N1*N2</f>
        <v>2.1413055999999999</v>
      </c>
    </row>
    <row r="5" spans="1:14" x14ac:dyDescent="0.3">
      <c r="A5" s="342" t="s">
        <v>537</v>
      </c>
      <c r="B5" s="166" t="s">
        <v>113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161" t="s">
        <v>975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s="248" customFormat="1" ht="28.8" x14ac:dyDescent="0.3">
      <c r="A10" s="184">
        <v>10</v>
      </c>
      <c r="B10" s="190" t="s">
        <v>606</v>
      </c>
      <c r="C10" s="184" t="s">
        <v>976</v>
      </c>
      <c r="D10" s="362">
        <v>2.25</v>
      </c>
      <c r="E10" s="184">
        <v>32</v>
      </c>
      <c r="F10" s="184" t="s">
        <v>573</v>
      </c>
      <c r="G10" s="184">
        <v>27</v>
      </c>
      <c r="H10" s="268" t="s">
        <v>573</v>
      </c>
      <c r="I10" s="269" t="s">
        <v>977</v>
      </c>
      <c r="J10" s="274">
        <f>E10*G10/1000000</f>
        <v>8.6399999999999997E-4</v>
      </c>
      <c r="K10" s="274">
        <v>4.0000000000000001E-3</v>
      </c>
      <c r="L10" s="268">
        <v>7800</v>
      </c>
      <c r="M10" s="365">
        <v>1</v>
      </c>
      <c r="N10" s="363">
        <f>IF(J10="",D10*M10,D10*J10*K10*L10*M10)</f>
        <v>6.06528E-2</v>
      </c>
    </row>
    <row r="11" spans="1:14" s="178" customFormat="1" x14ac:dyDescent="0.3">
      <c r="M11" s="338" t="s">
        <v>547</v>
      </c>
      <c r="N11" s="337">
        <f>SUM(N10:N10)</f>
        <v>6.06528E-2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s="178" customFormat="1" ht="28.8" x14ac:dyDescent="0.3">
      <c r="A14" s="168">
        <v>10</v>
      </c>
      <c r="B14" s="315" t="s">
        <v>589</v>
      </c>
      <c r="C14" s="168"/>
      <c r="D14" s="323">
        <v>1.3</v>
      </c>
      <c r="E14" s="168" t="s">
        <v>556</v>
      </c>
      <c r="F14" s="168">
        <v>1</v>
      </c>
      <c r="G14" s="184" t="s">
        <v>1508</v>
      </c>
      <c r="H14" s="168">
        <v>0.5</v>
      </c>
      <c r="I14" s="323">
        <f>IF('EN 04002'!$H14&lt;&gt;"",'EN 04002'!$D14*'EN 04002'!$F14*'EN 04002'!$H14,'EN 04002'!$D14*'EN 04002'!$F14)</f>
        <v>0.65</v>
      </c>
    </row>
    <row r="15" spans="1:14" ht="16.95" customHeight="1" x14ac:dyDescent="0.3">
      <c r="A15" s="168">
        <v>20</v>
      </c>
      <c r="B15" s="171" t="s">
        <v>700</v>
      </c>
      <c r="C15" s="171"/>
      <c r="D15" s="323">
        <v>0.01</v>
      </c>
      <c r="E15" s="168" t="s">
        <v>593</v>
      </c>
      <c r="F15" s="168">
        <v>12</v>
      </c>
      <c r="G15" s="180" t="s">
        <v>598</v>
      </c>
      <c r="H15" s="179">
        <v>3</v>
      </c>
      <c r="I15" s="323">
        <f>IF('EN 04002'!$H15&lt;&gt;"",'EN 04002'!$D15*'EN 04002'!$F15*'EN 04002'!$H15,'EN 04002'!$D15*'EN 04002'!$F15)</f>
        <v>0.36</v>
      </c>
    </row>
    <row r="16" spans="1:14" s="178" customFormat="1" x14ac:dyDescent="0.3">
      <c r="H16" s="344" t="s">
        <v>547</v>
      </c>
      <c r="I16" s="337">
        <f>SUM(I14:I15)</f>
        <v>1.01</v>
      </c>
    </row>
  </sheetData>
  <pageMargins left="0.5" right="0.5" top="0.75" bottom="0.75" header="0.3" footer="0.3"/>
  <pageSetup paperSize="9" scale="69" orientation="landscape"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2.6640625" style="161" customWidth="1"/>
    <col min="2" max="2" width="24.5546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6" style="161" customWidth="1"/>
    <col min="8" max="8" width="11.3320312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1.8932818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928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931</v>
      </c>
      <c r="D4" s="342" t="s">
        <v>541</v>
      </c>
      <c r="J4" s="342" t="s">
        <v>538</v>
      </c>
      <c r="M4" s="342" t="s">
        <v>539</v>
      </c>
      <c r="N4" s="336">
        <f>N1*N2</f>
        <v>1.8932818</v>
      </c>
    </row>
    <row r="5" spans="1:14" x14ac:dyDescent="0.3">
      <c r="A5" s="342" t="s">
        <v>537</v>
      </c>
      <c r="B5" s="166" t="s">
        <v>114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161" t="s">
        <v>978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90" t="s">
        <v>606</v>
      </c>
      <c r="C10" s="168" t="s">
        <v>976</v>
      </c>
      <c r="D10" s="323">
        <v>2.25</v>
      </c>
      <c r="E10" s="168">
        <v>46</v>
      </c>
      <c r="F10" s="168" t="s">
        <v>573</v>
      </c>
      <c r="G10" s="168">
        <v>22</v>
      </c>
      <c r="H10" s="219" t="s">
        <v>573</v>
      </c>
      <c r="I10" s="269" t="s">
        <v>979</v>
      </c>
      <c r="J10" s="227">
        <f>E10*G10/1000000</f>
        <v>1.0120000000000001E-3</v>
      </c>
      <c r="K10" s="228">
        <v>3.0000000000000001E-3</v>
      </c>
      <c r="L10" s="219">
        <v>7800</v>
      </c>
      <c r="M10" s="339">
        <v>1</v>
      </c>
      <c r="N10" s="322">
        <f>IF(J10="",D10*M10,D10*J10*K10*L10*M10)</f>
        <v>5.3281800000000011E-2</v>
      </c>
    </row>
    <row r="11" spans="1:14" s="178" customFormat="1" x14ac:dyDescent="0.3">
      <c r="M11" s="338" t="s">
        <v>547</v>
      </c>
      <c r="N11" s="337">
        <f>SUM(N10:N10)</f>
        <v>5.3281800000000011E-2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s="178" customFormat="1" ht="28.8" x14ac:dyDescent="0.3">
      <c r="A14" s="171">
        <v>10</v>
      </c>
      <c r="B14" s="315" t="s">
        <v>589</v>
      </c>
      <c r="C14" s="171"/>
      <c r="D14" s="323">
        <v>1.3</v>
      </c>
      <c r="E14" s="171" t="s">
        <v>556</v>
      </c>
      <c r="F14" s="171">
        <v>1</v>
      </c>
      <c r="G14" s="180"/>
      <c r="H14" s="180"/>
      <c r="I14" s="323">
        <f>IF('EN 04003'!$H14&lt;&gt;"",'EN 04003'!$D14*'EN 04003'!$F14*'EN 04003'!$H14,'EN 04003'!$D14*'EN 04003'!$F14)</f>
        <v>1.3</v>
      </c>
    </row>
    <row r="15" spans="1:14" x14ac:dyDescent="0.3">
      <c r="A15" s="168">
        <v>20</v>
      </c>
      <c r="B15" s="171" t="s">
        <v>700</v>
      </c>
      <c r="C15" s="171"/>
      <c r="D15" s="323">
        <v>0.01</v>
      </c>
      <c r="E15" s="168" t="s">
        <v>593</v>
      </c>
      <c r="F15" s="168">
        <v>18</v>
      </c>
      <c r="G15" s="180" t="s">
        <v>598</v>
      </c>
      <c r="H15" s="358">
        <v>3</v>
      </c>
      <c r="I15" s="323">
        <f>IF('EN 04003'!$H15&lt;&gt;"",'EN 04003'!$D15*'EN 04003'!$F15*'EN 04003'!$H15,'EN 04003'!$D15*'EN 04003'!$F15)</f>
        <v>0.54</v>
      </c>
    </row>
    <row r="16" spans="1:14" s="178" customFormat="1" x14ac:dyDescent="0.3">
      <c r="H16" s="338" t="s">
        <v>547</v>
      </c>
      <c r="I16" s="337">
        <f>SUM(I14:I15)</f>
        <v>1.84</v>
      </c>
    </row>
  </sheetData>
  <pageMargins left="0.5" right="0.5" top="0.75" bottom="0.75" header="0.3" footer="0.3"/>
  <pageSetup scale="62" orientation="landscape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9.6640625" style="161" customWidth="1"/>
    <col min="3" max="3" width="16.88671875" style="161" customWidth="1"/>
    <col min="4" max="4" width="13.5546875" style="161" bestFit="1" customWidth="1"/>
    <col min="5" max="5" width="12.6640625" style="161" customWidth="1"/>
    <col min="6" max="6" width="12" style="161" bestFit="1" customWidth="1"/>
    <col min="7" max="7" width="19.88671875" style="161" customWidth="1"/>
    <col min="8" max="8" width="12.10937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1.853241344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928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932</v>
      </c>
      <c r="D4" s="342" t="s">
        <v>541</v>
      </c>
      <c r="J4" s="342" t="s">
        <v>538</v>
      </c>
      <c r="M4" s="342" t="s">
        <v>539</v>
      </c>
      <c r="N4" s="336">
        <f>N1*N2</f>
        <v>1.853241344</v>
      </c>
    </row>
    <row r="5" spans="1:14" x14ac:dyDescent="0.3">
      <c r="A5" s="342" t="s">
        <v>537</v>
      </c>
      <c r="B5" s="166" t="s">
        <v>115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225" t="s">
        <v>720</v>
      </c>
      <c r="C10" s="168" t="s">
        <v>922</v>
      </c>
      <c r="D10" s="323">
        <v>4.2</v>
      </c>
      <c r="E10" s="168">
        <v>128</v>
      </c>
      <c r="F10" s="168" t="s">
        <v>573</v>
      </c>
      <c r="G10" s="168">
        <v>32</v>
      </c>
      <c r="H10" s="219" t="s">
        <v>573</v>
      </c>
      <c r="I10" s="269" t="s">
        <v>980</v>
      </c>
      <c r="J10" s="227">
        <f>E10*G10/1000000</f>
        <v>4.0959999999999998E-3</v>
      </c>
      <c r="K10" s="227">
        <v>2E-3</v>
      </c>
      <c r="L10" s="219">
        <v>2710</v>
      </c>
      <c r="M10" s="339">
        <v>1</v>
      </c>
      <c r="N10" s="322">
        <f>IF(J10="",D10*M10,D10*J10*K10*L10*M10)</f>
        <v>9.324134399999999E-2</v>
      </c>
    </row>
    <row r="11" spans="1:14" s="178" customFormat="1" x14ac:dyDescent="0.3">
      <c r="M11" s="338" t="s">
        <v>547</v>
      </c>
      <c r="N11" s="337">
        <f>SUM(N10:N10)</f>
        <v>9.324134399999999E-2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95" customHeight="1" x14ac:dyDescent="0.3">
      <c r="A14" s="168">
        <v>10</v>
      </c>
      <c r="B14" s="315" t="s">
        <v>589</v>
      </c>
      <c r="C14" s="168"/>
      <c r="D14" s="323">
        <v>1.3</v>
      </c>
      <c r="E14" s="168" t="s">
        <v>556</v>
      </c>
      <c r="F14" s="168">
        <v>1</v>
      </c>
      <c r="G14" s="168"/>
      <c r="H14" s="168"/>
      <c r="I14" s="323">
        <f>IF('EN 04004'!$H14&lt;&gt;"",'EN 04004'!$D14*'EN 04004'!$F14*'EN 04004'!$H14,'EN 04004'!$D14*'EN 04004'!$F14)</f>
        <v>1.3</v>
      </c>
    </row>
    <row r="15" spans="1:14" s="178" customFormat="1" ht="14.4" customHeight="1" x14ac:dyDescent="0.3">
      <c r="A15" s="168">
        <v>20</v>
      </c>
      <c r="B15" s="171" t="s">
        <v>700</v>
      </c>
      <c r="C15" s="171"/>
      <c r="D15" s="323">
        <v>0.01</v>
      </c>
      <c r="E15" s="168" t="s">
        <v>593</v>
      </c>
      <c r="F15" s="168">
        <v>46</v>
      </c>
      <c r="G15" s="180" t="s">
        <v>981</v>
      </c>
      <c r="H15" s="358">
        <v>1</v>
      </c>
      <c r="I15" s="323">
        <f>D15*F15*H15</f>
        <v>0.46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338" t="s">
        <v>547</v>
      </c>
      <c r="I16" s="337">
        <f>SUM(I14:I15)</f>
        <v>1.76</v>
      </c>
    </row>
  </sheetData>
  <pageMargins left="0.5" right="0.5" top="0.75" bottom="0.75" header="0.3" footer="0.3"/>
  <pageSetup paperSize="9" scale="65" orientation="landscape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96"/>
  <sheetViews>
    <sheetView showGridLines="0" workbookViewId="0"/>
  </sheetViews>
  <sheetFormatPr defaultColWidth="11.5546875" defaultRowHeight="14.4" x14ac:dyDescent="0.3"/>
  <cols>
    <col min="2" max="2" width="26.33203125" customWidth="1"/>
    <col min="3" max="3" width="18.44140625" customWidth="1"/>
    <col min="8" max="8" width="17.6640625" customWidth="1"/>
    <col min="13" max="13" width="15.3320312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N11+I16</f>
        <v>5.3782154600000007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2</v>
      </c>
    </row>
    <row r="3" spans="1:14" x14ac:dyDescent="0.3">
      <c r="A3" s="197" t="s">
        <v>534</v>
      </c>
      <c r="B3" t="s">
        <v>579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6" t="s">
        <v>38</v>
      </c>
      <c r="D4" s="197" t="s">
        <v>541</v>
      </c>
      <c r="J4" s="197" t="s">
        <v>538</v>
      </c>
      <c r="M4" s="197" t="s">
        <v>539</v>
      </c>
      <c r="N4" s="164">
        <f>N2*N1</f>
        <v>10.756430920000001</v>
      </c>
    </row>
    <row r="5" spans="1:14" x14ac:dyDescent="0.3">
      <c r="A5" s="197" t="s">
        <v>537</v>
      </c>
      <c r="B5" s="199" t="s">
        <v>37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200" t="s">
        <v>542</v>
      </c>
      <c r="B7" s="161" t="s">
        <v>580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s="211" customFormat="1" ht="28.8" x14ac:dyDescent="0.3">
      <c r="A10" s="183">
        <v>10</v>
      </c>
      <c r="B10" s="190" t="s">
        <v>586</v>
      </c>
      <c r="C10" s="184" t="s">
        <v>587</v>
      </c>
      <c r="D10" s="185">
        <v>1</v>
      </c>
      <c r="E10" s="183">
        <v>116</v>
      </c>
      <c r="F10" s="183" t="s">
        <v>573</v>
      </c>
      <c r="G10" s="183"/>
      <c r="H10" s="204"/>
      <c r="I10" s="205" t="s">
        <v>588</v>
      </c>
      <c r="J10" s="206">
        <f>(E10*10^-3)^2*3.14</f>
        <v>4.2251840000000006E-2</v>
      </c>
      <c r="K10" s="207">
        <v>4.4999999999999997E-3</v>
      </c>
      <c r="L10" s="208">
        <v>7000</v>
      </c>
      <c r="M10" s="209">
        <f>K10*J10*L10</f>
        <v>1.3309329600000002</v>
      </c>
      <c r="N10" s="210">
        <f>M10*D10</f>
        <v>1.3309329600000002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212" t="s">
        <v>547</v>
      </c>
      <c r="N11" s="213">
        <f>N10</f>
        <v>1.3309329600000002</v>
      </c>
    </row>
    <row r="13" spans="1:14" x14ac:dyDescent="0.3">
      <c r="A13" s="203" t="s">
        <v>544</v>
      </c>
      <c r="B13" s="203" t="s">
        <v>548</v>
      </c>
      <c r="C13" s="203" t="s">
        <v>549</v>
      </c>
      <c r="D13" s="203" t="s">
        <v>550</v>
      </c>
      <c r="E13" s="203" t="s">
        <v>551</v>
      </c>
      <c r="F13" s="203" t="s">
        <v>28</v>
      </c>
      <c r="G13" s="203" t="s">
        <v>552</v>
      </c>
      <c r="H13" s="203" t="s">
        <v>553</v>
      </c>
      <c r="I13" s="203" t="s">
        <v>547</v>
      </c>
      <c r="J13" s="178"/>
      <c r="K13" s="178"/>
      <c r="L13" s="178"/>
      <c r="M13" s="178"/>
      <c r="N13" s="178"/>
    </row>
    <row r="14" spans="1:14" ht="43.2" x14ac:dyDescent="0.3">
      <c r="A14" s="179">
        <v>10</v>
      </c>
      <c r="B14" s="180" t="s">
        <v>589</v>
      </c>
      <c r="C14" s="179" t="s">
        <v>590</v>
      </c>
      <c r="D14" s="170">
        <v>1.3</v>
      </c>
      <c r="E14" s="180" t="s">
        <v>556</v>
      </c>
      <c r="F14" s="179">
        <v>1</v>
      </c>
      <c r="G14" s="179"/>
      <c r="H14" s="267" t="s">
        <v>2450</v>
      </c>
      <c r="I14" s="214">
        <f>D14*0.5</f>
        <v>0.65</v>
      </c>
    </row>
    <row r="15" spans="1:14" ht="28.8" x14ac:dyDescent="0.3">
      <c r="A15" s="168">
        <v>20</v>
      </c>
      <c r="B15" s="180" t="s">
        <v>591</v>
      </c>
      <c r="C15" s="168" t="s">
        <v>592</v>
      </c>
      <c r="D15" s="170">
        <v>0.01</v>
      </c>
      <c r="E15" s="168" t="s">
        <v>593</v>
      </c>
      <c r="F15" s="215">
        <v>135.8913</v>
      </c>
      <c r="G15" s="180" t="s">
        <v>594</v>
      </c>
      <c r="H15" s="179">
        <v>2.5</v>
      </c>
      <c r="I15" s="170">
        <f>H15*F15*D15</f>
        <v>3.3972825000000002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216" t="s">
        <v>547</v>
      </c>
      <c r="I16" s="213">
        <f>I15+I14</f>
        <v>4.0472825000000006</v>
      </c>
      <c r="J16" s="178"/>
      <c r="K16" s="178"/>
      <c r="L16" s="178"/>
      <c r="M16" s="178"/>
      <c r="N16" s="178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  <row r="195" spans="1:8" x14ac:dyDescent="0.3">
      <c r="A195" s="161"/>
      <c r="B195" s="161"/>
      <c r="C195" s="161"/>
      <c r="D195" s="161"/>
      <c r="E195" s="161"/>
      <c r="F195" s="161"/>
      <c r="G195" s="161"/>
      <c r="H195" s="161"/>
    </row>
    <row r="196" spans="1:8" x14ac:dyDescent="0.3">
      <c r="A196" s="161"/>
      <c r="B196" s="161"/>
      <c r="C196" s="161"/>
      <c r="D196" s="161"/>
      <c r="E196" s="161"/>
      <c r="F196" s="161"/>
      <c r="G196" s="161"/>
      <c r="H196" s="161"/>
    </row>
  </sheetData>
  <pageMargins left="0.7" right="0.7" top="0.75" bottom="0.75" header="0.3" footer="0.3"/>
  <pageSetup paperSize="9" scale="70" fitToHeight="0" orientation="landscape"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1.44140625" style="161" customWidth="1"/>
    <col min="3" max="3" width="16.88671875" style="161" customWidth="1"/>
    <col min="4" max="4" width="11.88671875" style="161" bestFit="1" customWidth="1"/>
    <col min="5" max="5" width="9.5546875" style="161" customWidth="1"/>
    <col min="6" max="6" width="10.5546875" style="161" customWidth="1"/>
    <col min="7" max="7" width="18.5546875" style="161" customWidth="1"/>
    <col min="8" max="8" width="12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" style="161" customWidth="1"/>
    <col min="14" max="14" width="12.332031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N11+I17</f>
        <v>2.9358878720000003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928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933</v>
      </c>
      <c r="D4" s="342" t="s">
        <v>541</v>
      </c>
      <c r="J4" s="342" t="s">
        <v>538</v>
      </c>
      <c r="M4" s="342" t="s">
        <v>539</v>
      </c>
      <c r="N4" s="336">
        <f>N1*N2</f>
        <v>2.9358878720000003</v>
      </c>
    </row>
    <row r="5" spans="1:14" x14ac:dyDescent="0.3">
      <c r="A5" s="342" t="s">
        <v>537</v>
      </c>
      <c r="B5" s="166" t="s">
        <v>116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90" t="s">
        <v>720</v>
      </c>
      <c r="C10" s="168" t="s">
        <v>922</v>
      </c>
      <c r="D10" s="323">
        <v>4.2</v>
      </c>
      <c r="E10" s="168">
        <v>214</v>
      </c>
      <c r="F10" s="168" t="s">
        <v>573</v>
      </c>
      <c r="G10" s="168">
        <v>32</v>
      </c>
      <c r="H10" s="219" t="s">
        <v>573</v>
      </c>
      <c r="I10" s="269" t="s">
        <v>982</v>
      </c>
      <c r="J10" s="227">
        <f>E10*G10/1000000</f>
        <v>6.8479999999999999E-3</v>
      </c>
      <c r="K10" s="227">
        <v>2E-3</v>
      </c>
      <c r="L10" s="219">
        <v>2710</v>
      </c>
      <c r="M10" s="339">
        <v>1</v>
      </c>
      <c r="N10" s="322">
        <f>IF(J10="",D10*M10,D10*J10*K10*L10*M10)</f>
        <v>0.15588787200000001</v>
      </c>
    </row>
    <row r="11" spans="1:14" s="178" customFormat="1" x14ac:dyDescent="0.3">
      <c r="M11" s="338" t="s">
        <v>547</v>
      </c>
      <c r="N11" s="337">
        <f>SUM(N10:N10)</f>
        <v>0.15588787200000001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s="178" customFormat="1" ht="28.8" x14ac:dyDescent="0.3">
      <c r="A14" s="168">
        <v>10</v>
      </c>
      <c r="B14" s="315" t="s">
        <v>589</v>
      </c>
      <c r="C14" s="168"/>
      <c r="D14" s="323">
        <v>1.3</v>
      </c>
      <c r="E14" s="168" t="s">
        <v>556</v>
      </c>
      <c r="F14" s="168">
        <v>1</v>
      </c>
      <c r="G14" s="168"/>
      <c r="H14" s="168"/>
      <c r="I14" s="323">
        <f>F14*D14</f>
        <v>1.3</v>
      </c>
    </row>
    <row r="15" spans="1:14" ht="13.95" customHeight="1" x14ac:dyDescent="0.3">
      <c r="A15" s="168">
        <v>20</v>
      </c>
      <c r="B15" s="171" t="s">
        <v>700</v>
      </c>
      <c r="C15" s="171"/>
      <c r="D15" s="323">
        <v>0.01</v>
      </c>
      <c r="E15" s="168" t="s">
        <v>593</v>
      </c>
      <c r="F15" s="168">
        <v>48</v>
      </c>
      <c r="G15" s="289" t="s">
        <v>710</v>
      </c>
      <c r="H15" s="179">
        <v>1</v>
      </c>
      <c r="I15" s="323">
        <f>F15*D15*H15</f>
        <v>0.48</v>
      </c>
    </row>
    <row r="16" spans="1:14" x14ac:dyDescent="0.3">
      <c r="A16" s="168">
        <v>30</v>
      </c>
      <c r="B16" s="180" t="s">
        <v>702</v>
      </c>
      <c r="C16" s="171"/>
      <c r="D16" s="323">
        <v>0.25</v>
      </c>
      <c r="E16" s="168" t="s">
        <v>704</v>
      </c>
      <c r="F16" s="168">
        <v>4</v>
      </c>
      <c r="G16" s="168"/>
      <c r="H16" s="168"/>
      <c r="I16" s="322">
        <f>IF('EN 04005'!$H16&lt;&gt;"",'EN 04005'!$D16*'EN 04005'!$F16*'EN 04005'!$H16,'EN 04005'!$D16*'EN 04005'!$F16)</f>
        <v>1</v>
      </c>
    </row>
    <row r="17" spans="8:9" s="178" customFormat="1" x14ac:dyDescent="0.3">
      <c r="H17" s="338" t="s">
        <v>547</v>
      </c>
      <c r="I17" s="337">
        <f>SUM(I14:I16)</f>
        <v>2.7800000000000002</v>
      </c>
    </row>
  </sheetData>
  <pageMargins left="0.5" right="0.5" top="0.75" bottom="0.75" header="0.3" footer="0.3"/>
  <pageSetup paperSize="9" scale="68" orientation="landscape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N57"/>
  <sheetViews>
    <sheetView showGridLines="0" workbookViewId="0"/>
  </sheetViews>
  <sheetFormatPr defaultColWidth="9.109375" defaultRowHeight="14.4" x14ac:dyDescent="0.3"/>
  <cols>
    <col min="1" max="1" width="12.33203125" style="161" customWidth="1"/>
    <col min="2" max="2" width="28.88671875" style="161" bestFit="1" customWidth="1"/>
    <col min="3" max="3" width="41.33203125" style="161" customWidth="1"/>
    <col min="4" max="5" width="12.44140625" style="161" bestFit="1" customWidth="1"/>
    <col min="6" max="6" width="9.6640625" style="161" customWidth="1"/>
    <col min="7" max="7" width="11.88671875" style="161" customWidth="1"/>
    <col min="8" max="8" width="13.109375" style="161" customWidth="1"/>
    <col min="9" max="9" width="13.6640625" style="161" bestFit="1" customWidth="1"/>
    <col min="10" max="10" width="11.33203125" style="161" customWidth="1"/>
    <col min="11" max="11" width="8" style="161" customWidth="1"/>
    <col min="12" max="12" width="8.33203125" style="161" customWidth="1"/>
    <col min="13" max="13" width="15.6640625" style="161" customWidth="1"/>
    <col min="14" max="14" width="11.6640625" style="161" customWidth="1"/>
    <col min="15" max="16384" width="9.109375" style="161"/>
  </cols>
  <sheetData>
    <row r="1" spans="1:14" x14ac:dyDescent="0.3">
      <c r="A1" s="395" t="s">
        <v>523</v>
      </c>
      <c r="B1" s="161" t="s">
        <v>524</v>
      </c>
      <c r="J1" s="395" t="s">
        <v>528</v>
      </c>
      <c r="K1" s="163">
        <v>81</v>
      </c>
      <c r="M1" s="395" t="s">
        <v>531</v>
      </c>
      <c r="N1" s="164">
        <f>E19+N23+I43+J53+I57</f>
        <v>199.56660024833332</v>
      </c>
    </row>
    <row r="2" spans="1:14" x14ac:dyDescent="0.3">
      <c r="A2" s="395" t="s">
        <v>532</v>
      </c>
      <c r="B2" s="161" t="s">
        <v>780</v>
      </c>
      <c r="M2" s="395" t="s">
        <v>533</v>
      </c>
      <c r="N2" s="165">
        <v>1</v>
      </c>
    </row>
    <row r="3" spans="1:14" x14ac:dyDescent="0.3">
      <c r="A3" s="395" t="s">
        <v>534</v>
      </c>
      <c r="B3" s="161" t="s">
        <v>984</v>
      </c>
      <c r="J3" s="395" t="s">
        <v>536</v>
      </c>
    </row>
    <row r="4" spans="1:14" x14ac:dyDescent="0.3">
      <c r="A4" s="395" t="s">
        <v>537</v>
      </c>
      <c r="B4" s="166" t="s">
        <v>117</v>
      </c>
      <c r="J4" s="395" t="s">
        <v>538</v>
      </c>
      <c r="M4" s="395" t="s">
        <v>539</v>
      </c>
      <c r="N4" s="164">
        <f>N1*N2</f>
        <v>199.56660024833332</v>
      </c>
    </row>
    <row r="5" spans="1:14" x14ac:dyDescent="0.3">
      <c r="A5" s="395" t="s">
        <v>540</v>
      </c>
      <c r="B5" s="161" t="s">
        <v>36</v>
      </c>
      <c r="J5" s="395" t="s">
        <v>541</v>
      </c>
    </row>
    <row r="6" spans="1:14" x14ac:dyDescent="0.3">
      <c r="A6" s="395" t="s">
        <v>542</v>
      </c>
      <c r="B6" s="161" t="s">
        <v>985</v>
      </c>
    </row>
    <row r="8" spans="1:14" x14ac:dyDescent="0.3">
      <c r="A8" s="396" t="s">
        <v>544</v>
      </c>
      <c r="B8" s="396" t="s">
        <v>545</v>
      </c>
      <c r="C8" s="396" t="s">
        <v>546</v>
      </c>
      <c r="D8" s="396" t="s">
        <v>28</v>
      </c>
      <c r="E8" s="396" t="s">
        <v>547</v>
      </c>
    </row>
    <row r="9" spans="1:14" x14ac:dyDescent="0.3">
      <c r="A9" s="168">
        <v>10</v>
      </c>
      <c r="B9" s="168" t="s">
        <v>986</v>
      </c>
      <c r="C9" s="397">
        <f>'EN 05001'!N1</f>
        <v>47.223333333333336</v>
      </c>
      <c r="D9" s="215">
        <v>1</v>
      </c>
      <c r="E9" s="223">
        <f t="shared" ref="E9:E17" si="0">C9*D9</f>
        <v>47.223333333333336</v>
      </c>
    </row>
    <row r="10" spans="1:14" x14ac:dyDescent="0.3">
      <c r="A10" s="168">
        <v>20</v>
      </c>
      <c r="B10" s="168" t="s">
        <v>987</v>
      </c>
      <c r="C10" s="170">
        <f>'EN 05002'!N1</f>
        <v>5.4298640000000002</v>
      </c>
      <c r="D10" s="215">
        <v>1</v>
      </c>
      <c r="E10" s="223">
        <f t="shared" si="0"/>
        <v>5.4298640000000002</v>
      </c>
    </row>
    <row r="11" spans="1:14" x14ac:dyDescent="0.3">
      <c r="A11" s="168">
        <v>30</v>
      </c>
      <c r="B11" s="168" t="s">
        <v>988</v>
      </c>
      <c r="C11" s="170">
        <f>'EN 05003'!N1</f>
        <v>4.5381733333333329</v>
      </c>
      <c r="D11" s="215">
        <v>1</v>
      </c>
      <c r="E11" s="223">
        <f t="shared" si="0"/>
        <v>4.5381733333333329</v>
      </c>
    </row>
    <row r="12" spans="1:14" x14ac:dyDescent="0.3">
      <c r="A12" s="168">
        <v>40</v>
      </c>
      <c r="B12" s="168" t="s">
        <v>989</v>
      </c>
      <c r="C12" s="170">
        <f>'EN 05004'!N1</f>
        <v>3.542268</v>
      </c>
      <c r="D12" s="215">
        <v>1</v>
      </c>
      <c r="E12" s="223">
        <f t="shared" si="0"/>
        <v>3.542268</v>
      </c>
    </row>
    <row r="13" spans="1:14" x14ac:dyDescent="0.3">
      <c r="A13" s="168">
        <v>50</v>
      </c>
      <c r="B13" s="168" t="s">
        <v>990</v>
      </c>
      <c r="C13" s="170">
        <f>'EN 05005'!N1</f>
        <v>2.0561307599999998</v>
      </c>
      <c r="D13" s="215">
        <v>4</v>
      </c>
      <c r="E13" s="223">
        <f t="shared" si="0"/>
        <v>8.2245230399999993</v>
      </c>
    </row>
    <row r="14" spans="1:14" x14ac:dyDescent="0.3">
      <c r="A14" s="168">
        <v>60</v>
      </c>
      <c r="B14" s="168" t="s">
        <v>991</v>
      </c>
      <c r="C14" s="170">
        <f>'EN 05006'!N1</f>
        <v>6.6669833812500006</v>
      </c>
      <c r="D14" s="215">
        <v>4</v>
      </c>
      <c r="E14" s="223">
        <f t="shared" si="0"/>
        <v>26.667933525000002</v>
      </c>
    </row>
    <row r="15" spans="1:14" x14ac:dyDescent="0.3">
      <c r="A15" s="168">
        <v>70</v>
      </c>
      <c r="B15" s="168" t="s">
        <v>992</v>
      </c>
      <c r="C15" s="170">
        <f>'EN 05007'!N1</f>
        <v>2.6292146875000002</v>
      </c>
      <c r="D15" s="215">
        <v>4</v>
      </c>
      <c r="E15" s="223">
        <f t="shared" si="0"/>
        <v>10.516858750000001</v>
      </c>
    </row>
    <row r="16" spans="1:14" x14ac:dyDescent="0.3">
      <c r="A16" s="168">
        <v>80</v>
      </c>
      <c r="B16" s="168" t="s">
        <v>993</v>
      </c>
      <c r="C16" s="170">
        <f>'EN 05008'!N1</f>
        <v>2.257314</v>
      </c>
      <c r="D16" s="215">
        <v>1</v>
      </c>
      <c r="E16" s="223">
        <f t="shared" si="0"/>
        <v>2.257314</v>
      </c>
    </row>
    <row r="17" spans="1:14" x14ac:dyDescent="0.3">
      <c r="A17" s="168">
        <v>90</v>
      </c>
      <c r="B17" s="168" t="s">
        <v>994</v>
      </c>
      <c r="C17" s="170">
        <f>'EN 05009'!N1</f>
        <v>1.092438</v>
      </c>
      <c r="D17" s="215">
        <v>2</v>
      </c>
      <c r="E17" s="223">
        <f t="shared" si="0"/>
        <v>2.184876</v>
      </c>
    </row>
    <row r="18" spans="1:14" x14ac:dyDescent="0.3">
      <c r="A18" s="168">
        <v>100</v>
      </c>
      <c r="B18" s="168" t="s">
        <v>995</v>
      </c>
      <c r="C18" s="170">
        <f>'EN 05010'!N4</f>
        <v>2.1347896</v>
      </c>
      <c r="D18" s="215">
        <v>1</v>
      </c>
      <c r="E18" s="223">
        <f>D18*C18</f>
        <v>2.1347896</v>
      </c>
    </row>
    <row r="19" spans="1:14" x14ac:dyDescent="0.3">
      <c r="D19" s="398" t="s">
        <v>547</v>
      </c>
      <c r="E19" s="399">
        <f>SUM(E9:E18)</f>
        <v>112.71993358166668</v>
      </c>
    </row>
    <row r="21" spans="1:14" x14ac:dyDescent="0.3">
      <c r="A21" s="396" t="s">
        <v>544</v>
      </c>
      <c r="B21" s="396" t="s">
        <v>581</v>
      </c>
      <c r="C21" s="396" t="s">
        <v>549</v>
      </c>
      <c r="D21" s="396" t="s">
        <v>550</v>
      </c>
      <c r="E21" s="396" t="s">
        <v>567</v>
      </c>
      <c r="F21" s="396" t="s">
        <v>568</v>
      </c>
      <c r="G21" s="396" t="s">
        <v>569</v>
      </c>
      <c r="H21" s="396" t="s">
        <v>570</v>
      </c>
      <c r="I21" s="396" t="s">
        <v>582</v>
      </c>
      <c r="J21" s="396" t="s">
        <v>583</v>
      </c>
      <c r="K21" s="396" t="s">
        <v>584</v>
      </c>
      <c r="L21" s="396" t="s">
        <v>585</v>
      </c>
      <c r="M21" s="396" t="s">
        <v>28</v>
      </c>
      <c r="N21" s="396" t="s">
        <v>547</v>
      </c>
    </row>
    <row r="22" spans="1:14" x14ac:dyDescent="0.3">
      <c r="A22" s="168">
        <v>10</v>
      </c>
      <c r="B22" s="225" t="s">
        <v>642</v>
      </c>
      <c r="C22" s="168" t="s">
        <v>996</v>
      </c>
      <c r="D22" s="170">
        <v>9</v>
      </c>
      <c r="E22" s="168">
        <v>50</v>
      </c>
      <c r="F22" s="168" t="s">
        <v>573</v>
      </c>
      <c r="G22" s="168"/>
      <c r="H22" s="219"/>
      <c r="I22" s="220"/>
      <c r="J22" s="221"/>
      <c r="K22" s="219"/>
      <c r="L22" s="219"/>
      <c r="M22" s="332">
        <v>0.16</v>
      </c>
      <c r="N22" s="223">
        <f>IF(J22="",D22*M22,D22*J22*K22*L22*M22)</f>
        <v>1.44</v>
      </c>
    </row>
    <row r="23" spans="1:14" s="178" customFormat="1" x14ac:dyDescent="0.3">
      <c r="M23" s="398" t="s">
        <v>547</v>
      </c>
      <c r="N23" s="399">
        <f>SUM(N22:N22)</f>
        <v>1.44</v>
      </c>
    </row>
    <row r="25" spans="1:14" s="178" customFormat="1" x14ac:dyDescent="0.3">
      <c r="A25" s="396" t="s">
        <v>544</v>
      </c>
      <c r="B25" s="396" t="s">
        <v>548</v>
      </c>
      <c r="C25" s="396" t="s">
        <v>549</v>
      </c>
      <c r="D25" s="396" t="s">
        <v>550</v>
      </c>
      <c r="E25" s="396" t="s">
        <v>551</v>
      </c>
      <c r="F25" s="396" t="s">
        <v>28</v>
      </c>
      <c r="G25" s="396" t="s">
        <v>552</v>
      </c>
      <c r="H25" s="396" t="s">
        <v>553</v>
      </c>
      <c r="I25" s="396" t="s">
        <v>547</v>
      </c>
    </row>
    <row r="26" spans="1:14" ht="13.95" customHeight="1" x14ac:dyDescent="0.3">
      <c r="A26" s="168">
        <v>10</v>
      </c>
      <c r="B26" s="171" t="s">
        <v>650</v>
      </c>
      <c r="C26" s="171" t="s">
        <v>997</v>
      </c>
      <c r="D26" s="170">
        <v>0.15</v>
      </c>
      <c r="E26" s="168" t="s">
        <v>593</v>
      </c>
      <c r="F26" s="168">
        <v>82</v>
      </c>
      <c r="G26" s="168"/>
      <c r="H26" s="168">
        <v>1</v>
      </c>
      <c r="I26" s="170">
        <f t="shared" ref="I26:I42" si="1">D26*F26*H26</f>
        <v>12.299999999999999</v>
      </c>
    </row>
    <row r="27" spans="1:14" x14ac:dyDescent="0.3">
      <c r="A27" s="168">
        <v>20</v>
      </c>
      <c r="B27" s="171" t="s">
        <v>650</v>
      </c>
      <c r="C27" s="171" t="s">
        <v>998</v>
      </c>
      <c r="D27" s="170">
        <v>0.15</v>
      </c>
      <c r="E27" s="168" t="s">
        <v>593</v>
      </c>
      <c r="F27" s="168">
        <v>82</v>
      </c>
      <c r="G27" s="168"/>
      <c r="H27" s="168">
        <v>1</v>
      </c>
      <c r="I27" s="170">
        <f t="shared" si="1"/>
        <v>12.299999999999999</v>
      </c>
    </row>
    <row r="28" spans="1:14" x14ac:dyDescent="0.3">
      <c r="A28" s="168">
        <v>30</v>
      </c>
      <c r="B28" s="171" t="s">
        <v>650</v>
      </c>
      <c r="C28" s="171" t="s">
        <v>999</v>
      </c>
      <c r="D28" s="170">
        <v>0.15</v>
      </c>
      <c r="E28" s="168" t="s">
        <v>593</v>
      </c>
      <c r="F28" s="168">
        <v>44</v>
      </c>
      <c r="G28" s="168"/>
      <c r="H28" s="168">
        <v>1</v>
      </c>
      <c r="I28" s="170">
        <f t="shared" si="1"/>
        <v>6.6</v>
      </c>
    </row>
    <row r="29" spans="1:14" ht="16.5" customHeight="1" x14ac:dyDescent="0.3">
      <c r="A29" s="168">
        <v>40</v>
      </c>
      <c r="B29" s="171" t="s">
        <v>650</v>
      </c>
      <c r="C29" s="171" t="s">
        <v>1000</v>
      </c>
      <c r="D29" s="170">
        <v>0.15</v>
      </c>
      <c r="E29" s="168" t="s">
        <v>593</v>
      </c>
      <c r="F29" s="168">
        <f>51</f>
        <v>51</v>
      </c>
      <c r="G29" s="168"/>
      <c r="H29" s="168">
        <v>1</v>
      </c>
      <c r="I29" s="170">
        <f t="shared" si="1"/>
        <v>7.6499999999999995</v>
      </c>
    </row>
    <row r="30" spans="1:14" ht="16.5" customHeight="1" x14ac:dyDescent="0.3">
      <c r="A30" s="168">
        <v>50</v>
      </c>
      <c r="B30" s="171" t="s">
        <v>650</v>
      </c>
      <c r="C30" s="171" t="s">
        <v>1001</v>
      </c>
      <c r="D30" s="170">
        <v>0.15</v>
      </c>
      <c r="E30" s="168" t="s">
        <v>593</v>
      </c>
      <c r="F30" s="168">
        <v>51</v>
      </c>
      <c r="G30" s="168"/>
      <c r="H30" s="168">
        <v>1</v>
      </c>
      <c r="I30" s="170">
        <f t="shared" si="1"/>
        <v>7.6499999999999995</v>
      </c>
    </row>
    <row r="31" spans="1:14" ht="16.5" customHeight="1" x14ac:dyDescent="0.3">
      <c r="A31" s="168">
        <v>60</v>
      </c>
      <c r="B31" s="171" t="s">
        <v>650</v>
      </c>
      <c r="C31" s="171" t="s">
        <v>1002</v>
      </c>
      <c r="D31" s="170">
        <v>0.15</v>
      </c>
      <c r="E31" s="168" t="s">
        <v>593</v>
      </c>
      <c r="F31" s="168">
        <v>6</v>
      </c>
      <c r="G31" s="168"/>
      <c r="H31" s="168">
        <v>1</v>
      </c>
      <c r="I31" s="170">
        <f t="shared" si="1"/>
        <v>0.89999999999999991</v>
      </c>
    </row>
    <row r="32" spans="1:14" ht="16.5" customHeight="1" x14ac:dyDescent="0.3">
      <c r="A32" s="168">
        <v>70</v>
      </c>
      <c r="B32" s="180" t="s">
        <v>760</v>
      </c>
      <c r="C32" s="171" t="s">
        <v>1003</v>
      </c>
      <c r="D32" s="170">
        <v>0.19</v>
      </c>
      <c r="E32" s="168" t="s">
        <v>556</v>
      </c>
      <c r="F32" s="168">
        <v>4</v>
      </c>
      <c r="G32" s="168"/>
      <c r="H32" s="168">
        <v>1</v>
      </c>
      <c r="I32" s="170">
        <f t="shared" si="1"/>
        <v>0.76</v>
      </c>
    </row>
    <row r="33" spans="1:11" ht="16.5" customHeight="1" x14ac:dyDescent="0.3">
      <c r="A33" s="168">
        <v>80</v>
      </c>
      <c r="B33" s="179" t="s">
        <v>1004</v>
      </c>
      <c r="C33" s="171" t="s">
        <v>1005</v>
      </c>
      <c r="D33" s="170">
        <v>0.06</v>
      </c>
      <c r="E33" s="168" t="s">
        <v>556</v>
      </c>
      <c r="F33" s="168">
        <v>8</v>
      </c>
      <c r="G33" s="168"/>
      <c r="H33" s="168">
        <v>1</v>
      </c>
      <c r="I33" s="170">
        <f t="shared" si="1"/>
        <v>0.48</v>
      </c>
    </row>
    <row r="34" spans="1:11" ht="16.5" customHeight="1" x14ac:dyDescent="0.3">
      <c r="A34" s="168">
        <v>90</v>
      </c>
      <c r="B34" s="180" t="s">
        <v>1006</v>
      </c>
      <c r="C34" s="171" t="s">
        <v>1007</v>
      </c>
      <c r="D34" s="170">
        <v>0.56000000000000005</v>
      </c>
      <c r="E34" s="168" t="s">
        <v>556</v>
      </c>
      <c r="F34" s="168">
        <v>1</v>
      </c>
      <c r="G34" s="168"/>
      <c r="H34" s="168">
        <v>1</v>
      </c>
      <c r="I34" s="170">
        <f t="shared" si="1"/>
        <v>0.56000000000000005</v>
      </c>
    </row>
    <row r="35" spans="1:11" ht="16.5" customHeight="1" x14ac:dyDescent="0.3">
      <c r="A35" s="168">
        <v>100</v>
      </c>
      <c r="B35" s="180" t="s">
        <v>680</v>
      </c>
      <c r="C35" s="171" t="s">
        <v>1008</v>
      </c>
      <c r="D35" s="170">
        <v>0.5</v>
      </c>
      <c r="E35" s="168" t="s">
        <v>556</v>
      </c>
      <c r="F35" s="168">
        <v>8</v>
      </c>
      <c r="G35" s="168"/>
      <c r="H35" s="168">
        <v>1</v>
      </c>
      <c r="I35" s="170">
        <f t="shared" si="1"/>
        <v>4</v>
      </c>
    </row>
    <row r="36" spans="1:11" ht="16.5" customHeight="1" x14ac:dyDescent="0.3">
      <c r="A36" s="168">
        <v>110</v>
      </c>
      <c r="B36" s="180" t="s">
        <v>659</v>
      </c>
      <c r="C36" s="171" t="s">
        <v>1009</v>
      </c>
      <c r="D36" s="170">
        <v>0.5</v>
      </c>
      <c r="E36" s="168" t="s">
        <v>556</v>
      </c>
      <c r="F36" s="168">
        <v>2</v>
      </c>
      <c r="G36" s="168"/>
      <c r="H36" s="168">
        <v>1</v>
      </c>
      <c r="I36" s="170">
        <f t="shared" si="1"/>
        <v>1</v>
      </c>
    </row>
    <row r="37" spans="1:11" ht="16.5" customHeight="1" x14ac:dyDescent="0.3">
      <c r="A37" s="168">
        <v>120</v>
      </c>
      <c r="B37" s="180" t="s">
        <v>660</v>
      </c>
      <c r="C37" s="171" t="s">
        <v>950</v>
      </c>
      <c r="D37" s="170">
        <v>0.25</v>
      </c>
      <c r="E37" s="168" t="s">
        <v>556</v>
      </c>
      <c r="F37" s="168">
        <v>2</v>
      </c>
      <c r="G37" s="168"/>
      <c r="H37" s="168">
        <v>1</v>
      </c>
      <c r="I37" s="170">
        <f t="shared" si="1"/>
        <v>0.5</v>
      </c>
    </row>
    <row r="38" spans="1:11" ht="16.5" customHeight="1" x14ac:dyDescent="0.3">
      <c r="A38" s="168">
        <v>130</v>
      </c>
      <c r="B38" s="179" t="s">
        <v>1004</v>
      </c>
      <c r="C38" s="171" t="s">
        <v>1010</v>
      </c>
      <c r="D38" s="170">
        <v>0.06</v>
      </c>
      <c r="E38" s="168" t="s">
        <v>556</v>
      </c>
      <c r="F38" s="168">
        <v>1</v>
      </c>
      <c r="G38" s="168"/>
      <c r="H38" s="168">
        <v>1</v>
      </c>
      <c r="I38" s="170">
        <f t="shared" si="1"/>
        <v>0.06</v>
      </c>
    </row>
    <row r="39" spans="1:11" ht="16.5" customHeight="1" x14ac:dyDescent="0.3">
      <c r="A39" s="168">
        <v>140</v>
      </c>
      <c r="B39" s="171" t="s">
        <v>659</v>
      </c>
      <c r="C39" s="171" t="s">
        <v>1011</v>
      </c>
      <c r="D39" s="170">
        <v>0.5</v>
      </c>
      <c r="E39" s="168" t="s">
        <v>556</v>
      </c>
      <c r="F39" s="168">
        <v>20</v>
      </c>
      <c r="G39" s="168"/>
      <c r="H39" s="168">
        <v>1</v>
      </c>
      <c r="I39" s="170">
        <f t="shared" si="1"/>
        <v>10</v>
      </c>
    </row>
    <row r="40" spans="1:11" ht="16.5" customHeight="1" x14ac:dyDescent="0.3">
      <c r="A40" s="168">
        <v>150</v>
      </c>
      <c r="B40" s="180" t="s">
        <v>660</v>
      </c>
      <c r="C40" s="171" t="s">
        <v>1012</v>
      </c>
      <c r="D40" s="170">
        <v>0.25</v>
      </c>
      <c r="E40" s="168" t="s">
        <v>556</v>
      </c>
      <c r="F40" s="168">
        <v>20</v>
      </c>
      <c r="G40" s="168"/>
      <c r="H40" s="168">
        <v>1</v>
      </c>
      <c r="I40" s="170">
        <f t="shared" si="1"/>
        <v>5</v>
      </c>
    </row>
    <row r="41" spans="1:11" ht="16.5" customHeight="1" x14ac:dyDescent="0.3">
      <c r="A41" s="168">
        <v>160</v>
      </c>
      <c r="B41" s="180" t="s">
        <v>659</v>
      </c>
      <c r="C41" s="171" t="s">
        <v>1013</v>
      </c>
      <c r="D41" s="170">
        <v>0.5</v>
      </c>
      <c r="E41" s="168" t="s">
        <v>556</v>
      </c>
      <c r="F41" s="168">
        <v>2</v>
      </c>
      <c r="G41" s="168"/>
      <c r="H41" s="168">
        <v>1</v>
      </c>
      <c r="I41" s="170">
        <f t="shared" si="1"/>
        <v>1</v>
      </c>
    </row>
    <row r="42" spans="1:11" ht="16.5" customHeight="1" x14ac:dyDescent="0.3">
      <c r="A42" s="168">
        <v>170</v>
      </c>
      <c r="B42" s="180" t="s">
        <v>660</v>
      </c>
      <c r="C42" s="171" t="s">
        <v>950</v>
      </c>
      <c r="D42" s="170">
        <v>0.25</v>
      </c>
      <c r="E42" s="168" t="s">
        <v>556</v>
      </c>
      <c r="F42" s="168">
        <v>2</v>
      </c>
      <c r="G42" s="168"/>
      <c r="H42" s="168">
        <v>1</v>
      </c>
      <c r="I42" s="170">
        <f t="shared" si="1"/>
        <v>0.5</v>
      </c>
    </row>
    <row r="43" spans="1:11" s="178" customFormat="1" x14ac:dyDescent="0.3">
      <c r="H43" s="398" t="s">
        <v>547</v>
      </c>
      <c r="I43" s="399">
        <f>SUM(I26:I42)</f>
        <v>71.259999999999991</v>
      </c>
    </row>
    <row r="45" spans="1:11" s="178" customFormat="1" x14ac:dyDescent="0.3">
      <c r="A45" s="396" t="s">
        <v>544</v>
      </c>
      <c r="B45" s="396" t="s">
        <v>566</v>
      </c>
      <c r="C45" s="396" t="s">
        <v>549</v>
      </c>
      <c r="D45" s="396" t="s">
        <v>550</v>
      </c>
      <c r="E45" s="396" t="s">
        <v>567</v>
      </c>
      <c r="F45" s="396" t="s">
        <v>568</v>
      </c>
      <c r="G45" s="396" t="s">
        <v>569</v>
      </c>
      <c r="H45" s="396" t="s">
        <v>570</v>
      </c>
      <c r="I45" s="396" t="s">
        <v>28</v>
      </c>
      <c r="J45" s="396" t="s">
        <v>547</v>
      </c>
      <c r="K45" s="161"/>
    </row>
    <row r="46" spans="1:11" x14ac:dyDescent="0.3">
      <c r="A46" s="168">
        <v>10</v>
      </c>
      <c r="B46" s="356" t="s">
        <v>1014</v>
      </c>
      <c r="C46" s="168" t="s">
        <v>1015</v>
      </c>
      <c r="D46" s="170">
        <v>0.72</v>
      </c>
      <c r="E46" s="168">
        <v>55</v>
      </c>
      <c r="F46" s="189" t="s">
        <v>573</v>
      </c>
      <c r="G46" s="168"/>
      <c r="H46" s="171"/>
      <c r="I46" s="188">
        <v>8</v>
      </c>
      <c r="J46" s="170">
        <f>I46*D46</f>
        <v>5.76</v>
      </c>
    </row>
    <row r="47" spans="1:11" ht="13.95" customHeight="1" x14ac:dyDescent="0.3">
      <c r="A47" s="168">
        <v>20</v>
      </c>
      <c r="B47" s="225" t="s">
        <v>684</v>
      </c>
      <c r="C47" s="168" t="s">
        <v>1016</v>
      </c>
      <c r="D47" s="170">
        <v>0.63</v>
      </c>
      <c r="E47" s="168">
        <v>6</v>
      </c>
      <c r="F47" s="189" t="s">
        <v>573</v>
      </c>
      <c r="G47" s="168">
        <v>170</v>
      </c>
      <c r="H47" s="171" t="s">
        <v>573</v>
      </c>
      <c r="I47" s="188">
        <v>2</v>
      </c>
      <c r="J47" s="170">
        <f t="shared" ref="J47:J52" si="2">I47*D47</f>
        <v>1.26</v>
      </c>
    </row>
    <row r="48" spans="1:11" x14ac:dyDescent="0.3">
      <c r="A48" s="168">
        <v>30</v>
      </c>
      <c r="B48" s="356" t="s">
        <v>618</v>
      </c>
      <c r="C48" s="168" t="s">
        <v>1017</v>
      </c>
      <c r="D48" s="170">
        <v>0.03</v>
      </c>
      <c r="E48" s="168">
        <v>6</v>
      </c>
      <c r="F48" s="189" t="s">
        <v>573</v>
      </c>
      <c r="G48" s="168"/>
      <c r="H48" s="171"/>
      <c r="I48" s="188">
        <v>6</v>
      </c>
      <c r="J48" s="170">
        <f t="shared" si="2"/>
        <v>0.18</v>
      </c>
    </row>
    <row r="49" spans="1:10" x14ac:dyDescent="0.3">
      <c r="A49" s="168">
        <v>40</v>
      </c>
      <c r="B49" s="400" t="s">
        <v>574</v>
      </c>
      <c r="C49" s="168" t="s">
        <v>1018</v>
      </c>
      <c r="D49" s="170">
        <v>0.01</v>
      </c>
      <c r="E49" s="168">
        <v>6</v>
      </c>
      <c r="F49" s="189" t="s">
        <v>573</v>
      </c>
      <c r="G49" s="168"/>
      <c r="H49" s="171"/>
      <c r="I49" s="188">
        <v>8</v>
      </c>
      <c r="J49" s="170">
        <f t="shared" si="2"/>
        <v>0.08</v>
      </c>
    </row>
    <row r="50" spans="1:10" x14ac:dyDescent="0.3">
      <c r="A50" s="168">
        <v>50</v>
      </c>
      <c r="B50" s="225" t="s">
        <v>684</v>
      </c>
      <c r="C50" s="168" t="s">
        <v>1010</v>
      </c>
      <c r="D50" s="170">
        <v>0.02</v>
      </c>
      <c r="E50" s="168">
        <v>4</v>
      </c>
      <c r="F50" s="189" t="s">
        <v>573</v>
      </c>
      <c r="G50" s="168">
        <v>12</v>
      </c>
      <c r="H50" s="171" t="s">
        <v>573</v>
      </c>
      <c r="I50" s="188">
        <v>20</v>
      </c>
      <c r="J50" s="170">
        <f t="shared" si="2"/>
        <v>0.4</v>
      </c>
    </row>
    <row r="51" spans="1:10" x14ac:dyDescent="0.3">
      <c r="A51" s="168">
        <v>60</v>
      </c>
      <c r="B51" s="356" t="s">
        <v>618</v>
      </c>
      <c r="C51" s="168" t="s">
        <v>1010</v>
      </c>
      <c r="D51" s="170">
        <v>0.02</v>
      </c>
      <c r="E51" s="168">
        <v>4</v>
      </c>
      <c r="F51" s="189" t="s">
        <v>573</v>
      </c>
      <c r="G51" s="168"/>
      <c r="H51" s="171"/>
      <c r="I51" s="188">
        <v>20</v>
      </c>
      <c r="J51" s="170">
        <f t="shared" si="2"/>
        <v>0.4</v>
      </c>
    </row>
    <row r="52" spans="1:10" x14ac:dyDescent="0.3">
      <c r="A52" s="168">
        <v>70</v>
      </c>
      <c r="B52" s="356" t="s">
        <v>574</v>
      </c>
      <c r="C52" s="168" t="s">
        <v>1010</v>
      </c>
      <c r="D52" s="170">
        <v>0.01</v>
      </c>
      <c r="E52" s="168">
        <v>4</v>
      </c>
      <c r="F52" s="189" t="s">
        <v>573</v>
      </c>
      <c r="G52" s="168"/>
      <c r="H52" s="171"/>
      <c r="I52" s="188">
        <v>40</v>
      </c>
      <c r="J52" s="170">
        <f t="shared" si="2"/>
        <v>0.4</v>
      </c>
    </row>
    <row r="53" spans="1:10" s="178" customFormat="1" x14ac:dyDescent="0.3">
      <c r="I53" s="398" t="s">
        <v>547</v>
      </c>
      <c r="J53" s="399">
        <f>SUM(J46:J52)</f>
        <v>8.48</v>
      </c>
    </row>
    <row r="54" spans="1:10" x14ac:dyDescent="0.3">
      <c r="H54" s="326"/>
      <c r="I54" s="325"/>
    </row>
    <row r="55" spans="1:10" s="178" customFormat="1" x14ac:dyDescent="0.3">
      <c r="A55" s="396" t="s">
        <v>544</v>
      </c>
      <c r="B55" s="396" t="s">
        <v>6</v>
      </c>
      <c r="C55" s="396" t="s">
        <v>549</v>
      </c>
      <c r="D55" s="396" t="s">
        <v>550</v>
      </c>
      <c r="E55" s="396" t="s">
        <v>551</v>
      </c>
      <c r="F55" s="396" t="s">
        <v>28</v>
      </c>
      <c r="G55" s="396" t="s">
        <v>691</v>
      </c>
      <c r="H55" s="396" t="s">
        <v>1019</v>
      </c>
      <c r="I55" s="396" t="s">
        <v>547</v>
      </c>
    </row>
    <row r="56" spans="1:10" x14ac:dyDescent="0.3">
      <c r="A56" s="168">
        <v>10</v>
      </c>
      <c r="B56" s="168" t="s">
        <v>693</v>
      </c>
      <c r="C56" s="168"/>
      <c r="D56" s="170">
        <v>500</v>
      </c>
      <c r="E56" s="168" t="s">
        <v>695</v>
      </c>
      <c r="F56" s="168">
        <v>34</v>
      </c>
      <c r="G56" s="168">
        <v>3000</v>
      </c>
      <c r="H56" s="168">
        <v>1</v>
      </c>
      <c r="I56" s="223">
        <f>D56*F56/G56*H56</f>
        <v>5.666666666666667</v>
      </c>
    </row>
    <row r="57" spans="1:10" s="178" customFormat="1" x14ac:dyDescent="0.3">
      <c r="H57" s="398" t="s">
        <v>547</v>
      </c>
      <c r="I57" s="399">
        <f>SUM(I56:I56)</f>
        <v>5.666666666666667</v>
      </c>
    </row>
  </sheetData>
  <pageMargins left="0.5" right="0.5" top="0.75" bottom="0.75" header="0.3" footer="0.3"/>
  <pageSetup scale="60" fitToWidth="0" orientation="landscape"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21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1.6640625" style="161" customWidth="1"/>
    <col min="3" max="3" width="25.44140625" style="161" customWidth="1"/>
    <col min="4" max="4" width="13.5546875" style="161" bestFit="1" customWidth="1"/>
    <col min="5" max="5" width="13" style="161" customWidth="1"/>
    <col min="6" max="6" width="12" style="161" bestFit="1" customWidth="1"/>
    <col min="7" max="7" width="12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N13+I25+I30</f>
        <v>47.223333333333336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1020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1" t="s">
        <v>986</v>
      </c>
      <c r="D4" s="342" t="s">
        <v>541</v>
      </c>
      <c r="J4" s="342" t="s">
        <v>538</v>
      </c>
      <c r="M4" s="342" t="s">
        <v>539</v>
      </c>
      <c r="N4" s="336">
        <f>N1*N2</f>
        <v>47.223333333333336</v>
      </c>
    </row>
    <row r="5" spans="1:14" x14ac:dyDescent="0.3">
      <c r="A5" s="342" t="s">
        <v>537</v>
      </c>
      <c r="B5" s="199" t="s">
        <v>119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161" t="s">
        <v>1021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68" t="s">
        <v>855</v>
      </c>
      <c r="C10" s="168" t="s">
        <v>1022</v>
      </c>
      <c r="D10" s="323">
        <v>200</v>
      </c>
      <c r="E10" s="316">
        <f>(0.095/0.136)*0.4/4</f>
        <v>6.985294117647059E-2</v>
      </c>
      <c r="F10" s="168" t="s">
        <v>856</v>
      </c>
      <c r="G10" s="168"/>
      <c r="H10" s="219"/>
      <c r="I10" s="220"/>
      <c r="J10" s="221"/>
      <c r="K10" s="219"/>
      <c r="L10" s="219"/>
      <c r="M10" s="168">
        <v>3</v>
      </c>
      <c r="N10" s="322">
        <f>D10*E10</f>
        <v>13.970588235294118</v>
      </c>
    </row>
    <row r="11" spans="1:14" x14ac:dyDescent="0.3">
      <c r="A11" s="168">
        <v>20</v>
      </c>
      <c r="B11" s="168" t="s">
        <v>855</v>
      </c>
      <c r="C11" s="168" t="s">
        <v>1023</v>
      </c>
      <c r="D11" s="323">
        <v>200</v>
      </c>
      <c r="E11" s="316">
        <f>(0.041/0.136)*0.4/4</f>
        <v>3.0147058823529412E-2</v>
      </c>
      <c r="F11" s="168" t="s">
        <v>856</v>
      </c>
      <c r="G11" s="168"/>
      <c r="H11" s="219"/>
      <c r="I11" s="220"/>
      <c r="J11" s="221"/>
      <c r="K11" s="219"/>
      <c r="L11" s="219"/>
      <c r="M11" s="168">
        <v>3</v>
      </c>
      <c r="N11" s="322">
        <f>D11*E11</f>
        <v>6.0294117647058822</v>
      </c>
    </row>
    <row r="12" spans="1:14" s="248" customFormat="1" ht="28.8" x14ac:dyDescent="0.3">
      <c r="A12" s="168">
        <v>30</v>
      </c>
      <c r="B12" s="190" t="s">
        <v>1024</v>
      </c>
      <c r="C12" s="184" t="s">
        <v>1025</v>
      </c>
      <c r="D12" s="195">
        <v>0</v>
      </c>
      <c r="E12" s="401"/>
      <c r="F12" s="184"/>
      <c r="G12" s="184"/>
      <c r="H12" s="268"/>
      <c r="I12" s="269"/>
      <c r="J12" s="274"/>
      <c r="K12" s="274"/>
      <c r="L12" s="268"/>
      <c r="M12" s="168"/>
      <c r="N12" s="260">
        <f>IF(J12="",D12*M12,D12*J12*K12*L12*M12)</f>
        <v>0</v>
      </c>
    </row>
    <row r="13" spans="1:14" s="178" customFormat="1" x14ac:dyDescent="0.3">
      <c r="M13" s="338" t="s">
        <v>547</v>
      </c>
      <c r="N13" s="373">
        <f>SUM(N10:N12)</f>
        <v>20</v>
      </c>
    </row>
    <row r="15" spans="1:14" s="178" customFormat="1" x14ac:dyDescent="0.3">
      <c r="A15" s="371" t="s">
        <v>544</v>
      </c>
      <c r="B15" s="371" t="s">
        <v>548</v>
      </c>
      <c r="C15" s="371" t="s">
        <v>549</v>
      </c>
      <c r="D15" s="371" t="s">
        <v>550</v>
      </c>
      <c r="E15" s="371" t="s">
        <v>551</v>
      </c>
      <c r="F15" s="371" t="s">
        <v>28</v>
      </c>
      <c r="G15" s="371" t="s">
        <v>552</v>
      </c>
      <c r="H15" s="371" t="s">
        <v>553</v>
      </c>
      <c r="I15" s="371" t="s">
        <v>547</v>
      </c>
    </row>
    <row r="16" spans="1:14" s="248" customFormat="1" x14ac:dyDescent="0.3">
      <c r="A16" s="184">
        <v>10</v>
      </c>
      <c r="B16" s="180" t="s">
        <v>857</v>
      </c>
      <c r="C16" s="184" t="s">
        <v>1022</v>
      </c>
      <c r="D16" s="282">
        <v>35</v>
      </c>
      <c r="E16" s="180" t="s">
        <v>627</v>
      </c>
      <c r="F16" s="184">
        <v>9.5000000000000001E-2</v>
      </c>
      <c r="G16" s="184" t="s">
        <v>2940</v>
      </c>
      <c r="H16" s="184">
        <v>3</v>
      </c>
      <c r="I16" s="363">
        <f>IF('EN 05001'!$H16&lt;&gt;"",'EN 05001'!$D16*'EN 05001'!$F16*'EN 05001'!$H16,'EN 05001'!$D16*'EN 05001'!$F16)</f>
        <v>9.9750000000000014</v>
      </c>
    </row>
    <row r="17" spans="1:9" x14ac:dyDescent="0.3">
      <c r="A17" s="184">
        <v>20</v>
      </c>
      <c r="B17" s="350" t="s">
        <v>1027</v>
      </c>
      <c r="C17" s="184" t="s">
        <v>1022</v>
      </c>
      <c r="D17" s="402">
        <v>2.5</v>
      </c>
      <c r="E17" s="184" t="s">
        <v>627</v>
      </c>
      <c r="F17" s="184">
        <v>9.5000000000000001E-2</v>
      </c>
      <c r="G17" s="184"/>
      <c r="H17" s="184"/>
      <c r="I17" s="363">
        <f>IF('EN 05001'!$H17&lt;&gt;"",'EN 05001'!$D17*'EN 05001'!$F17*'EN 05001'!$H17,'EN 05001'!$D17*'EN 05001'!$F17)</f>
        <v>0.23749999999999999</v>
      </c>
    </row>
    <row r="18" spans="1:9" s="248" customFormat="1" x14ac:dyDescent="0.3">
      <c r="A18" s="184">
        <v>30</v>
      </c>
      <c r="B18" s="180" t="s">
        <v>858</v>
      </c>
      <c r="C18" s="184" t="s">
        <v>1022</v>
      </c>
      <c r="D18" s="282">
        <v>20</v>
      </c>
      <c r="E18" s="180" t="s">
        <v>627</v>
      </c>
      <c r="F18" s="184">
        <v>9.5000000000000001E-2</v>
      </c>
      <c r="G18" s="184"/>
      <c r="H18" s="184"/>
      <c r="I18" s="363">
        <f>IF('EN 05001'!$H18&lt;&gt;"",'EN 05001'!$D18*'EN 05001'!$F18*'EN 05001'!$H18,'EN 05001'!$D18*'EN 05001'!$F18)</f>
        <v>1.9</v>
      </c>
    </row>
    <row r="19" spans="1:9" s="248" customFormat="1" x14ac:dyDescent="0.3">
      <c r="A19" s="184">
        <v>40</v>
      </c>
      <c r="B19" s="180" t="s">
        <v>857</v>
      </c>
      <c r="C19" s="168" t="s">
        <v>1023</v>
      </c>
      <c r="D19" s="282">
        <v>35</v>
      </c>
      <c r="E19" s="180" t="s">
        <v>627</v>
      </c>
      <c r="F19" s="168">
        <v>4.1000000000000002E-2</v>
      </c>
      <c r="G19" s="184" t="s">
        <v>2940</v>
      </c>
      <c r="H19" s="184">
        <v>3</v>
      </c>
      <c r="I19" s="363">
        <f>IF('EN 05001'!$H19&lt;&gt;"",'EN 05001'!$D19*'EN 05001'!$F19*'EN 05001'!$H19,'EN 05001'!$D19*'EN 05001'!$F19)</f>
        <v>4.3049999999999997</v>
      </c>
    </row>
    <row r="20" spans="1:9" x14ac:dyDescent="0.3">
      <c r="A20" s="184">
        <v>50</v>
      </c>
      <c r="B20" s="180" t="s">
        <v>1027</v>
      </c>
      <c r="C20" s="168" t="s">
        <v>1023</v>
      </c>
      <c r="D20" s="402">
        <v>2.5</v>
      </c>
      <c r="E20" s="184" t="s">
        <v>627</v>
      </c>
      <c r="F20" s="168">
        <v>4.1000000000000002E-2</v>
      </c>
      <c r="G20" s="184"/>
      <c r="H20" s="184"/>
      <c r="I20" s="363">
        <f>IF('EN 05001'!$H20&lt;&gt;"",'EN 05001'!$D20*'EN 05001'!$F20*'EN 05001'!$H20,'EN 05001'!$D20*'EN 05001'!$F20)</f>
        <v>0.10250000000000001</v>
      </c>
    </row>
    <row r="21" spans="1:9" s="248" customFormat="1" x14ac:dyDescent="0.3">
      <c r="A21" s="184">
        <v>60</v>
      </c>
      <c r="B21" s="180" t="s">
        <v>858</v>
      </c>
      <c r="C21" s="168" t="s">
        <v>1023</v>
      </c>
      <c r="D21" s="282">
        <v>20</v>
      </c>
      <c r="E21" s="180" t="s">
        <v>627</v>
      </c>
      <c r="F21" s="168">
        <v>4.1000000000000002E-2</v>
      </c>
      <c r="G21" s="184"/>
      <c r="H21" s="184"/>
      <c r="I21" s="363">
        <f>IF('EN 05001'!$H21&lt;&gt;"",'EN 05001'!$D21*'EN 05001'!$F21*'EN 05001'!$H21,'EN 05001'!$D21*'EN 05001'!$F21)</f>
        <v>0.82000000000000006</v>
      </c>
    </row>
    <row r="22" spans="1:9" s="248" customFormat="1" x14ac:dyDescent="0.3">
      <c r="A22" s="184">
        <v>70</v>
      </c>
      <c r="B22" s="180" t="s">
        <v>1028</v>
      </c>
      <c r="C22" s="168" t="s">
        <v>1029</v>
      </c>
      <c r="D22" s="403">
        <v>0.02</v>
      </c>
      <c r="E22" s="180" t="s">
        <v>593</v>
      </c>
      <c r="F22" s="168">
        <v>80</v>
      </c>
      <c r="G22" s="184"/>
      <c r="H22" s="184"/>
      <c r="I22" s="363">
        <f>IF('EN 05001'!$H22&lt;&gt;"",'EN 05001'!$D22*'EN 05001'!$F22*'EN 05001'!$H22,'EN 05001'!$D22*'EN 05001'!$F22)</f>
        <v>1.6</v>
      </c>
    </row>
    <row r="23" spans="1:9" s="248" customFormat="1" x14ac:dyDescent="0.3">
      <c r="A23" s="184">
        <v>80</v>
      </c>
      <c r="B23" s="180" t="s">
        <v>749</v>
      </c>
      <c r="C23" s="168" t="s">
        <v>1029</v>
      </c>
      <c r="D23" s="282">
        <v>0.13</v>
      </c>
      <c r="E23" s="180" t="s">
        <v>556</v>
      </c>
      <c r="F23" s="168">
        <v>1</v>
      </c>
      <c r="G23" s="184"/>
      <c r="H23" s="184"/>
      <c r="I23" s="363">
        <f>IF('EN 05001'!$H23&lt;&gt;"",'EN 05001'!$D23*'EN 05001'!$F23*'EN 05001'!$H23,'EN 05001'!$D23*'EN 05001'!$F23)</f>
        <v>0.13</v>
      </c>
    </row>
    <row r="24" spans="1:9" x14ac:dyDescent="0.3">
      <c r="A24" s="184">
        <v>90</v>
      </c>
      <c r="B24" s="180" t="s">
        <v>791</v>
      </c>
      <c r="C24" s="193" t="s">
        <v>1030</v>
      </c>
      <c r="D24" s="243">
        <v>0.35</v>
      </c>
      <c r="E24" s="184" t="s">
        <v>843</v>
      </c>
      <c r="F24" s="184">
        <v>22</v>
      </c>
      <c r="G24" s="184"/>
      <c r="H24" s="184"/>
      <c r="I24" s="363">
        <f>IF('EN 05001'!$H24&lt;&gt;"",'EN 05001'!$D24*'EN 05001'!$F24*'EN 05001'!$H24,'EN 05001'!$D24*'EN 05001'!$F24)</f>
        <v>7.6999999999999993</v>
      </c>
    </row>
    <row r="25" spans="1:9" s="178" customFormat="1" x14ac:dyDescent="0.3">
      <c r="A25" s="278"/>
      <c r="B25" s="278"/>
      <c r="C25" s="278"/>
      <c r="D25" s="278"/>
      <c r="E25" s="278"/>
      <c r="F25" s="278"/>
      <c r="G25" s="278"/>
      <c r="H25" s="372" t="s">
        <v>547</v>
      </c>
      <c r="I25" s="373">
        <f>SUM(I16:I24)</f>
        <v>26.770000000000003</v>
      </c>
    </row>
    <row r="26" spans="1:9" x14ac:dyDescent="0.3">
      <c r="H26" s="326"/>
      <c r="I26" s="325"/>
    </row>
    <row r="27" spans="1:9" s="178" customFormat="1" x14ac:dyDescent="0.3">
      <c r="A27" s="341" t="s">
        <v>544</v>
      </c>
      <c r="B27" s="341" t="s">
        <v>6</v>
      </c>
      <c r="C27" s="341" t="s">
        <v>549</v>
      </c>
      <c r="D27" s="341" t="s">
        <v>550</v>
      </c>
      <c r="E27" s="341" t="s">
        <v>551</v>
      </c>
      <c r="F27" s="341" t="s">
        <v>28</v>
      </c>
      <c r="G27" s="341" t="s">
        <v>691</v>
      </c>
      <c r="H27" s="341" t="s">
        <v>692</v>
      </c>
      <c r="I27" s="341" t="s">
        <v>547</v>
      </c>
    </row>
    <row r="28" spans="1:9" s="248" customFormat="1" x14ac:dyDescent="0.3">
      <c r="A28" s="184">
        <v>10</v>
      </c>
      <c r="B28" s="267" t="s">
        <v>859</v>
      </c>
      <c r="C28" s="184" t="s">
        <v>1031</v>
      </c>
      <c r="D28" s="366">
        <v>10000</v>
      </c>
      <c r="E28" s="184" t="s">
        <v>627</v>
      </c>
      <c r="F28" s="404">
        <v>9.5000000000000001E-2</v>
      </c>
      <c r="G28" s="184">
        <v>3000</v>
      </c>
      <c r="H28" s="184">
        <v>1</v>
      </c>
      <c r="I28" s="195">
        <f>IF($G28&lt;&gt;"",D28*F28/G28*H28,"")</f>
        <v>0.31666666666666665</v>
      </c>
    </row>
    <row r="29" spans="1:9" s="248" customFormat="1" x14ac:dyDescent="0.3">
      <c r="A29" s="184">
        <v>20</v>
      </c>
      <c r="B29" s="267" t="s">
        <v>859</v>
      </c>
      <c r="C29" s="184" t="s">
        <v>1031</v>
      </c>
      <c r="D29" s="366">
        <v>10000</v>
      </c>
      <c r="E29" s="184" t="s">
        <v>627</v>
      </c>
      <c r="F29" s="404">
        <v>4.1000000000000002E-2</v>
      </c>
      <c r="G29" s="184">
        <v>3000</v>
      </c>
      <c r="H29" s="184">
        <v>1</v>
      </c>
      <c r="I29" s="195">
        <f>IF($G29&lt;&gt;"",D29*F29/G29*H29,"")</f>
        <v>0.13666666666666666</v>
      </c>
    </row>
    <row r="30" spans="1:9" s="178" customFormat="1" x14ac:dyDescent="0.3">
      <c r="H30" s="338" t="s">
        <v>547</v>
      </c>
      <c r="I30" s="373">
        <f>SUM(I28:I29)</f>
        <v>0.45333333333333331</v>
      </c>
    </row>
    <row r="31" spans="1:9" x14ac:dyDescent="0.3">
      <c r="H31" s="326"/>
      <c r="I31" s="325"/>
    </row>
    <row r="84" spans="1:8" x14ac:dyDescent="0.3">
      <c r="A84" s="161" t="e">
        <f>#REF!</f>
        <v>#REF!</v>
      </c>
      <c r="B84" s="161" t="e">
        <f>#REF!</f>
        <v>#REF!</v>
      </c>
      <c r="C84" s="161" t="e">
        <f>#REF!</f>
        <v>#REF!</v>
      </c>
      <c r="D84" s="161" t="e">
        <f>#REF!</f>
        <v>#REF!</v>
      </c>
      <c r="E84" s="161" t="e">
        <f>#REF!</f>
        <v>#REF!</v>
      </c>
      <c r="F84" s="161" t="e">
        <f>#REF!</f>
        <v>#REF!</v>
      </c>
      <c r="G84" s="161" t="e">
        <f>#REF!</f>
        <v>#REF!</v>
      </c>
      <c r="H84" s="161" t="e">
        <f>#REF!</f>
        <v>#REF!</v>
      </c>
    </row>
    <row r="85" spans="1:8" x14ac:dyDescent="0.3">
      <c r="A85" s="161" t="e">
        <f>#REF!</f>
        <v>#REF!</v>
      </c>
      <c r="B85" s="161" t="e">
        <f>#REF!</f>
        <v>#REF!</v>
      </c>
      <c r="C85" s="161" t="e">
        <f>#REF!</f>
        <v>#REF!</v>
      </c>
      <c r="D85" s="161" t="e">
        <f>#REF!</f>
        <v>#REF!</v>
      </c>
      <c r="E85" s="161" t="e">
        <f>#REF!</f>
        <v>#REF!</v>
      </c>
      <c r="F85" s="161" t="e">
        <f>#REF!</f>
        <v>#REF!</v>
      </c>
      <c r="G85" s="161" t="e">
        <f>#REF!</f>
        <v>#REF!</v>
      </c>
      <c r="H85" s="161" t="e">
        <f>#REF!</f>
        <v>#REF!</v>
      </c>
    </row>
    <row r="86" spans="1:8" x14ac:dyDescent="0.3">
      <c r="A86" s="161" t="e">
        <f>#REF!</f>
        <v>#REF!</v>
      </c>
      <c r="B86" s="161" t="e">
        <f>#REF!</f>
        <v>#REF!</v>
      </c>
      <c r="C86" s="161" t="e">
        <f>#REF!</f>
        <v>#REF!</v>
      </c>
      <c r="D86" s="161" t="e">
        <f>#REF!</f>
        <v>#REF!</v>
      </c>
      <c r="E86" s="161" t="e">
        <f>#REF!</f>
        <v>#REF!</v>
      </c>
      <c r="F86" s="161" t="e">
        <f>#REF!</f>
        <v>#REF!</v>
      </c>
      <c r="G86" s="161" t="e">
        <f>#REF!</f>
        <v>#REF!</v>
      </c>
      <c r="H86" s="161" t="e">
        <f>#REF!</f>
        <v>#REF!</v>
      </c>
    </row>
    <row r="87" spans="1:8" x14ac:dyDescent="0.3">
      <c r="A87" s="161" t="e">
        <f>#REF!</f>
        <v>#REF!</v>
      </c>
      <c r="B87" s="161" t="e">
        <f>#REF!</f>
        <v>#REF!</v>
      </c>
      <c r="C87" s="161" t="e">
        <f>#REF!</f>
        <v>#REF!</v>
      </c>
      <c r="D87" s="161" t="e">
        <f>#REF!</f>
        <v>#REF!</v>
      </c>
      <c r="E87" s="161" t="e">
        <f>#REF!</f>
        <v>#REF!</v>
      </c>
      <c r="F87" s="161" t="e">
        <f>#REF!</f>
        <v>#REF!</v>
      </c>
      <c r="G87" s="161" t="e">
        <f>#REF!</f>
        <v>#REF!</v>
      </c>
      <c r="H87" s="161" t="e">
        <f>#REF!</f>
        <v>#REF!</v>
      </c>
    </row>
    <row r="88" spans="1:8" x14ac:dyDescent="0.3">
      <c r="A88" s="161" t="e">
        <f>#REF!</f>
        <v>#REF!</v>
      </c>
      <c r="B88" s="161" t="e">
        <f>#REF!</f>
        <v>#REF!</v>
      </c>
      <c r="C88" s="161" t="e">
        <f>#REF!</f>
        <v>#REF!</v>
      </c>
      <c r="D88" s="161" t="e">
        <f>#REF!</f>
        <v>#REF!</v>
      </c>
      <c r="E88" s="161" t="e">
        <f>#REF!</f>
        <v>#REF!</v>
      </c>
      <c r="F88" s="161" t="e">
        <f>#REF!</f>
        <v>#REF!</v>
      </c>
      <c r="G88" s="161" t="e">
        <f>#REF!</f>
        <v>#REF!</v>
      </c>
      <c r="H88" s="161" t="e">
        <f>#REF!</f>
        <v>#REF!</v>
      </c>
    </row>
    <row r="89" spans="1:8" x14ac:dyDescent="0.3">
      <c r="A89" s="161" t="e">
        <f>#REF!</f>
        <v>#REF!</v>
      </c>
      <c r="B89" s="161" t="e">
        <f>#REF!</f>
        <v>#REF!</v>
      </c>
      <c r="C89" s="161" t="e">
        <f>#REF!</f>
        <v>#REF!</v>
      </c>
      <c r="D89" s="161" t="e">
        <f>#REF!</f>
        <v>#REF!</v>
      </c>
      <c r="E89" s="161" t="e">
        <f>#REF!</f>
        <v>#REF!</v>
      </c>
      <c r="F89" s="161" t="e">
        <f>#REF!</f>
        <v>#REF!</v>
      </c>
      <c r="G89" s="161" t="e">
        <f>#REF!</f>
        <v>#REF!</v>
      </c>
      <c r="H89" s="161" t="e">
        <f>#REF!</f>
        <v>#REF!</v>
      </c>
    </row>
    <row r="90" spans="1:8" x14ac:dyDescent="0.3">
      <c r="A90" s="161" t="e">
        <f>#REF!</f>
        <v>#REF!</v>
      </c>
      <c r="B90" s="161" t="e">
        <f>#REF!</f>
        <v>#REF!</v>
      </c>
      <c r="C90" s="161" t="e">
        <f>#REF!</f>
        <v>#REF!</v>
      </c>
      <c r="D90" s="161" t="e">
        <f>#REF!</f>
        <v>#REF!</v>
      </c>
      <c r="E90" s="161" t="e">
        <f>#REF!</f>
        <v>#REF!</v>
      </c>
      <c r="F90" s="161" t="e">
        <f>#REF!</f>
        <v>#REF!</v>
      </c>
      <c r="G90" s="161" t="e">
        <f>#REF!</f>
        <v>#REF!</v>
      </c>
      <c r="H90" s="161" t="e">
        <f>#REF!</f>
        <v>#REF!</v>
      </c>
    </row>
    <row r="91" spans="1:8" x14ac:dyDescent="0.3">
      <c r="A91" s="161" t="e">
        <f>#REF!</f>
        <v>#REF!</v>
      </c>
      <c r="B91" s="161" t="e">
        <f>#REF!</f>
        <v>#REF!</v>
      </c>
      <c r="C91" s="161" t="e">
        <f>#REF!</f>
        <v>#REF!</v>
      </c>
      <c r="D91" s="161" t="e">
        <f>#REF!</f>
        <v>#REF!</v>
      </c>
      <c r="E91" s="161" t="e">
        <f>#REF!</f>
        <v>#REF!</v>
      </c>
      <c r="F91" s="161" t="e">
        <f>#REF!</f>
        <v>#REF!</v>
      </c>
      <c r="G91" s="161" t="e">
        <f>#REF!</f>
        <v>#REF!</v>
      </c>
      <c r="H91" s="161" t="e">
        <f>#REF!</f>
        <v>#REF!</v>
      </c>
    </row>
    <row r="92" spans="1:8" x14ac:dyDescent="0.3">
      <c r="A92" s="161" t="e">
        <f>#REF!</f>
        <v>#REF!</v>
      </c>
      <c r="B92" s="161" t="e">
        <f>#REF!</f>
        <v>#REF!</v>
      </c>
      <c r="C92" s="161" t="e">
        <f>#REF!</f>
        <v>#REF!</v>
      </c>
      <c r="D92" s="161" t="e">
        <f>#REF!</f>
        <v>#REF!</v>
      </c>
      <c r="E92" s="161" t="e">
        <f>#REF!</f>
        <v>#REF!</v>
      </c>
      <c r="F92" s="161" t="e">
        <f>#REF!</f>
        <v>#REF!</v>
      </c>
      <c r="G92" s="161" t="e">
        <f>#REF!</f>
        <v>#REF!</v>
      </c>
      <c r="H92" s="161" t="e">
        <f>#REF!</f>
        <v>#REF!</v>
      </c>
    </row>
    <row r="93" spans="1:8" x14ac:dyDescent="0.3">
      <c r="A93" s="161" t="e">
        <f>#REF!</f>
        <v>#REF!</v>
      </c>
      <c r="B93" s="161" t="e">
        <f>#REF!</f>
        <v>#REF!</v>
      </c>
      <c r="C93" s="161" t="e">
        <f>#REF!</f>
        <v>#REF!</v>
      </c>
      <c r="D93" s="161" t="e">
        <f>#REF!</f>
        <v>#REF!</v>
      </c>
      <c r="E93" s="161" t="e">
        <f>#REF!</f>
        <v>#REF!</v>
      </c>
      <c r="F93" s="161" t="e">
        <f>#REF!</f>
        <v>#REF!</v>
      </c>
      <c r="G93" s="161" t="e">
        <f>#REF!</f>
        <v>#REF!</v>
      </c>
      <c r="H93" s="161" t="e">
        <f>#REF!</f>
        <v>#REF!</v>
      </c>
    </row>
    <row r="94" spans="1:8" x14ac:dyDescent="0.3">
      <c r="A94" s="161" t="e">
        <f>#REF!</f>
        <v>#REF!</v>
      </c>
      <c r="B94" s="161" t="e">
        <f>#REF!</f>
        <v>#REF!</v>
      </c>
      <c r="C94" s="161" t="e">
        <f>#REF!</f>
        <v>#REF!</v>
      </c>
      <c r="D94" s="161" t="e">
        <f>#REF!</f>
        <v>#REF!</v>
      </c>
      <c r="E94" s="161" t="e">
        <f>#REF!</f>
        <v>#REF!</v>
      </c>
      <c r="F94" s="161" t="e">
        <f>#REF!</f>
        <v>#REF!</v>
      </c>
      <c r="G94" s="161" t="e">
        <f>#REF!</f>
        <v>#REF!</v>
      </c>
      <c r="H94" s="161" t="e">
        <f>#REF!</f>
        <v>#REF!</v>
      </c>
    </row>
    <row r="95" spans="1:8" x14ac:dyDescent="0.3">
      <c r="A95" s="161" t="e">
        <f>#REF!</f>
        <v>#REF!</v>
      </c>
      <c r="B95" s="161" t="e">
        <f>#REF!</f>
        <v>#REF!</v>
      </c>
      <c r="C95" s="161" t="e">
        <f>#REF!</f>
        <v>#REF!</v>
      </c>
      <c r="D95" s="161" t="e">
        <f>#REF!</f>
        <v>#REF!</v>
      </c>
      <c r="E95" s="161" t="e">
        <f>#REF!</f>
        <v>#REF!</v>
      </c>
      <c r="F95" s="161" t="e">
        <f>#REF!</f>
        <v>#REF!</v>
      </c>
      <c r="G95" s="161" t="e">
        <f>#REF!</f>
        <v>#REF!</v>
      </c>
      <c r="H95" s="161" t="e">
        <f>#REF!</f>
        <v>#REF!</v>
      </c>
    </row>
    <row r="96" spans="1:8" x14ac:dyDescent="0.3">
      <c r="A96" s="161" t="e">
        <f>#REF!</f>
        <v>#REF!</v>
      </c>
      <c r="B96" s="161" t="e">
        <f>#REF!</f>
        <v>#REF!</v>
      </c>
      <c r="C96" s="161" t="e">
        <f>#REF!</f>
        <v>#REF!</v>
      </c>
      <c r="D96" s="161" t="e">
        <f>#REF!</f>
        <v>#REF!</v>
      </c>
      <c r="E96" s="161" t="e">
        <f>#REF!</f>
        <v>#REF!</v>
      </c>
      <c r="F96" s="161" t="e">
        <f>#REF!</f>
        <v>#REF!</v>
      </c>
      <c r="G96" s="161" t="e">
        <f>#REF!</f>
        <v>#REF!</v>
      </c>
      <c r="H96" s="161" t="e">
        <f>#REF!</f>
        <v>#REF!</v>
      </c>
    </row>
    <row r="97" spans="1:8" x14ac:dyDescent="0.3">
      <c r="A97" s="161" t="e">
        <f>#REF!</f>
        <v>#REF!</v>
      </c>
      <c r="B97" s="161" t="e">
        <f>#REF!</f>
        <v>#REF!</v>
      </c>
      <c r="C97" s="161" t="e">
        <f>#REF!</f>
        <v>#REF!</v>
      </c>
      <c r="D97" s="161" t="e">
        <f>#REF!</f>
        <v>#REF!</v>
      </c>
      <c r="E97" s="161" t="e">
        <f>#REF!</f>
        <v>#REF!</v>
      </c>
      <c r="F97" s="161" t="e">
        <f>#REF!</f>
        <v>#REF!</v>
      </c>
      <c r="G97" s="161" t="e">
        <f>#REF!</f>
        <v>#REF!</v>
      </c>
      <c r="H97" s="161" t="e">
        <f>#REF!</f>
        <v>#REF!</v>
      </c>
    </row>
    <row r="98" spans="1:8" x14ac:dyDescent="0.3">
      <c r="A98" s="161" t="e">
        <f>#REF!</f>
        <v>#REF!</v>
      </c>
      <c r="B98" s="161" t="e">
        <f>#REF!</f>
        <v>#REF!</v>
      </c>
      <c r="C98" s="161" t="e">
        <f>#REF!</f>
        <v>#REF!</v>
      </c>
      <c r="D98" s="161" t="e">
        <f>#REF!</f>
        <v>#REF!</v>
      </c>
      <c r="E98" s="161" t="e">
        <f>#REF!</f>
        <v>#REF!</v>
      </c>
      <c r="F98" s="161" t="e">
        <f>#REF!</f>
        <v>#REF!</v>
      </c>
      <c r="G98" s="161" t="e">
        <f>#REF!</f>
        <v>#REF!</v>
      </c>
      <c r="H98" s="161" t="e">
        <f>#REF!</f>
        <v>#REF!</v>
      </c>
    </row>
    <row r="99" spans="1:8" x14ac:dyDescent="0.3">
      <c r="A99" s="161" t="e">
        <f>#REF!</f>
        <v>#REF!</v>
      </c>
      <c r="B99" s="161" t="e">
        <f>#REF!</f>
        <v>#REF!</v>
      </c>
      <c r="C99" s="161" t="e">
        <f>#REF!</f>
        <v>#REF!</v>
      </c>
      <c r="D99" s="161" t="e">
        <f>#REF!</f>
        <v>#REF!</v>
      </c>
      <c r="E99" s="161" t="e">
        <f>#REF!</f>
        <v>#REF!</v>
      </c>
      <c r="F99" s="161" t="e">
        <f>#REF!</f>
        <v>#REF!</v>
      </c>
      <c r="G99" s="161" t="e">
        <f>#REF!</f>
        <v>#REF!</v>
      </c>
      <c r="H99" s="161" t="e">
        <f>#REF!</f>
        <v>#REF!</v>
      </c>
    </row>
    <row r="100" spans="1:8" x14ac:dyDescent="0.3">
      <c r="A100" s="161" t="e">
        <f>#REF!</f>
        <v>#REF!</v>
      </c>
      <c r="B100" s="161" t="e">
        <f>#REF!</f>
        <v>#REF!</v>
      </c>
      <c r="C100" s="161" t="e">
        <f>#REF!</f>
        <v>#REF!</v>
      </c>
      <c r="D100" s="161" t="e">
        <f>#REF!</f>
        <v>#REF!</v>
      </c>
      <c r="E100" s="161" t="e">
        <f>#REF!</f>
        <v>#REF!</v>
      </c>
      <c r="F100" s="161" t="e">
        <f>#REF!</f>
        <v>#REF!</v>
      </c>
      <c r="G100" s="161" t="e">
        <f>#REF!</f>
        <v>#REF!</v>
      </c>
      <c r="H100" s="161" t="e">
        <f>#REF!</f>
        <v>#REF!</v>
      </c>
    </row>
    <row r="101" spans="1:8" x14ac:dyDescent="0.3">
      <c r="A101" s="161" t="e">
        <f>#REF!</f>
        <v>#REF!</v>
      </c>
      <c r="B101" s="161" t="e">
        <f>#REF!</f>
        <v>#REF!</v>
      </c>
      <c r="C101" s="161" t="e">
        <f>#REF!</f>
        <v>#REF!</v>
      </c>
      <c r="D101" s="161" t="e">
        <f>#REF!</f>
        <v>#REF!</v>
      </c>
      <c r="E101" s="161" t="e">
        <f>#REF!</f>
        <v>#REF!</v>
      </c>
      <c r="F101" s="161" t="e">
        <f>#REF!</f>
        <v>#REF!</v>
      </c>
      <c r="G101" s="161" t="e">
        <f>#REF!</f>
        <v>#REF!</v>
      </c>
      <c r="H101" s="161" t="e">
        <f>#REF!</f>
        <v>#REF!</v>
      </c>
    </row>
    <row r="102" spans="1:8" x14ac:dyDescent="0.3">
      <c r="A102" s="161" t="e">
        <f>#REF!</f>
        <v>#REF!</v>
      </c>
      <c r="B102" s="161" t="e">
        <f>#REF!</f>
        <v>#REF!</v>
      </c>
      <c r="C102" s="161" t="e">
        <f>#REF!</f>
        <v>#REF!</v>
      </c>
      <c r="D102" s="161" t="e">
        <f>#REF!</f>
        <v>#REF!</v>
      </c>
      <c r="E102" s="161" t="e">
        <f>#REF!</f>
        <v>#REF!</v>
      </c>
      <c r="F102" s="161" t="e">
        <f>#REF!</f>
        <v>#REF!</v>
      </c>
      <c r="G102" s="161" t="e">
        <f>#REF!</f>
        <v>#REF!</v>
      </c>
      <c r="H102" s="161" t="e">
        <f>#REF!</f>
        <v>#REF!</v>
      </c>
    </row>
    <row r="103" spans="1:8" x14ac:dyDescent="0.3">
      <c r="A103" s="161" t="e">
        <f>#REF!</f>
        <v>#REF!</v>
      </c>
      <c r="B103" s="161" t="e">
        <f>#REF!</f>
        <v>#REF!</v>
      </c>
      <c r="C103" s="161" t="e">
        <f>#REF!</f>
        <v>#REF!</v>
      </c>
      <c r="D103" s="161" t="e">
        <f>#REF!</f>
        <v>#REF!</v>
      </c>
      <c r="E103" s="161" t="e">
        <f>#REF!</f>
        <v>#REF!</v>
      </c>
      <c r="F103" s="161" t="e">
        <f>#REF!</f>
        <v>#REF!</v>
      </c>
      <c r="G103" s="161" t="e">
        <f>#REF!</f>
        <v>#REF!</v>
      </c>
      <c r="H103" s="161" t="e">
        <f>#REF!</f>
        <v>#REF!</v>
      </c>
    </row>
    <row r="104" spans="1:8" x14ac:dyDescent="0.3">
      <c r="A104" s="161" t="e">
        <f>#REF!</f>
        <v>#REF!</v>
      </c>
      <c r="B104" s="161" t="e">
        <f>#REF!</f>
        <v>#REF!</v>
      </c>
      <c r="C104" s="161" t="e">
        <f>#REF!</f>
        <v>#REF!</v>
      </c>
      <c r="D104" s="161" t="e">
        <f>#REF!</f>
        <v>#REF!</v>
      </c>
      <c r="E104" s="161" t="e">
        <f>#REF!</f>
        <v>#REF!</v>
      </c>
      <c r="F104" s="161" t="e">
        <f>#REF!</f>
        <v>#REF!</v>
      </c>
      <c r="G104" s="161" t="e">
        <f>#REF!</f>
        <v>#REF!</v>
      </c>
      <c r="H104" s="161" t="e">
        <f>#REF!</f>
        <v>#REF!</v>
      </c>
    </row>
    <row r="105" spans="1:8" x14ac:dyDescent="0.3">
      <c r="A105" s="161" t="e">
        <f>#REF!</f>
        <v>#REF!</v>
      </c>
      <c r="B105" s="161" t="e">
        <f>#REF!</f>
        <v>#REF!</v>
      </c>
      <c r="C105" s="161" t="e">
        <f>#REF!</f>
        <v>#REF!</v>
      </c>
      <c r="D105" s="161" t="e">
        <f>#REF!</f>
        <v>#REF!</v>
      </c>
      <c r="E105" s="161" t="e">
        <f>#REF!</f>
        <v>#REF!</v>
      </c>
      <c r="F105" s="161" t="e">
        <f>#REF!</f>
        <v>#REF!</v>
      </c>
      <c r="G105" s="161" t="e">
        <f>#REF!</f>
        <v>#REF!</v>
      </c>
      <c r="H105" s="161" t="e">
        <f>#REF!</f>
        <v>#REF!</v>
      </c>
    </row>
    <row r="106" spans="1:8" x14ac:dyDescent="0.3">
      <c r="A106" s="161" t="e">
        <f>#REF!</f>
        <v>#REF!</v>
      </c>
      <c r="B106" s="161" t="e">
        <f>#REF!</f>
        <v>#REF!</v>
      </c>
      <c r="C106" s="161" t="e">
        <f>#REF!</f>
        <v>#REF!</v>
      </c>
      <c r="D106" s="161" t="e">
        <f>#REF!</f>
        <v>#REF!</v>
      </c>
      <c r="E106" s="161" t="e">
        <f>#REF!</f>
        <v>#REF!</v>
      </c>
      <c r="F106" s="161" t="e">
        <f>#REF!</f>
        <v>#REF!</v>
      </c>
      <c r="G106" s="161" t="e">
        <f>#REF!</f>
        <v>#REF!</v>
      </c>
      <c r="H106" s="161" t="e">
        <f>#REF!</f>
        <v>#REF!</v>
      </c>
    </row>
    <row r="107" spans="1:8" x14ac:dyDescent="0.3">
      <c r="A107" s="161" t="e">
        <f>#REF!</f>
        <v>#REF!</v>
      </c>
      <c r="B107" s="161" t="e">
        <f>#REF!</f>
        <v>#REF!</v>
      </c>
      <c r="C107" s="161" t="e">
        <f>#REF!</f>
        <v>#REF!</v>
      </c>
      <c r="D107" s="161" t="e">
        <f>#REF!</f>
        <v>#REF!</v>
      </c>
      <c r="E107" s="161" t="e">
        <f>#REF!</f>
        <v>#REF!</v>
      </c>
      <c r="F107" s="161" t="e">
        <f>#REF!</f>
        <v>#REF!</v>
      </c>
      <c r="G107" s="161" t="e">
        <f>#REF!</f>
        <v>#REF!</v>
      </c>
      <c r="H107" s="161" t="e">
        <f>#REF!</f>
        <v>#REF!</v>
      </c>
    </row>
    <row r="108" spans="1:8" x14ac:dyDescent="0.3">
      <c r="A108" s="161" t="e">
        <f>#REF!</f>
        <v>#REF!</v>
      </c>
      <c r="B108" s="161" t="e">
        <f>#REF!</f>
        <v>#REF!</v>
      </c>
      <c r="C108" s="161" t="e">
        <f>#REF!</f>
        <v>#REF!</v>
      </c>
      <c r="D108" s="161" t="e">
        <f>#REF!</f>
        <v>#REF!</v>
      </c>
      <c r="E108" s="161" t="e">
        <f>#REF!</f>
        <v>#REF!</v>
      </c>
      <c r="F108" s="161" t="e">
        <f>#REF!</f>
        <v>#REF!</v>
      </c>
      <c r="G108" s="161" t="e">
        <f>#REF!</f>
        <v>#REF!</v>
      </c>
      <c r="H108" s="161" t="e">
        <f>#REF!</f>
        <v>#REF!</v>
      </c>
    </row>
    <row r="109" spans="1:8" x14ac:dyDescent="0.3">
      <c r="A109" s="161" t="e">
        <f>#REF!</f>
        <v>#REF!</v>
      </c>
      <c r="B109" s="161" t="e">
        <f>#REF!</f>
        <v>#REF!</v>
      </c>
      <c r="C109" s="161" t="e">
        <f>#REF!</f>
        <v>#REF!</v>
      </c>
      <c r="D109" s="161" t="e">
        <f>#REF!</f>
        <v>#REF!</v>
      </c>
      <c r="E109" s="161" t="e">
        <f>#REF!</f>
        <v>#REF!</v>
      </c>
      <c r="F109" s="161" t="e">
        <f>#REF!</f>
        <v>#REF!</v>
      </c>
      <c r="G109" s="161" t="e">
        <f>#REF!</f>
        <v>#REF!</v>
      </c>
      <c r="H109" s="161" t="e">
        <f>#REF!</f>
        <v>#REF!</v>
      </c>
    </row>
    <row r="110" spans="1:8" x14ac:dyDescent="0.3">
      <c r="A110" s="161" t="e">
        <f>#REF!</f>
        <v>#REF!</v>
      </c>
      <c r="B110" s="161" t="e">
        <f>#REF!</f>
        <v>#REF!</v>
      </c>
      <c r="C110" s="161" t="e">
        <f>#REF!</f>
        <v>#REF!</v>
      </c>
      <c r="D110" s="161" t="e">
        <f>#REF!</f>
        <v>#REF!</v>
      </c>
      <c r="E110" s="161" t="e">
        <f>#REF!</f>
        <v>#REF!</v>
      </c>
      <c r="F110" s="161" t="e">
        <f>#REF!</f>
        <v>#REF!</v>
      </c>
      <c r="G110" s="161" t="e">
        <f>#REF!</f>
        <v>#REF!</v>
      </c>
      <c r="H110" s="161" t="e">
        <f>#REF!</f>
        <v>#REF!</v>
      </c>
    </row>
    <row r="111" spans="1:8" x14ac:dyDescent="0.3">
      <c r="A111" s="161" t="e">
        <f>#REF!</f>
        <v>#REF!</v>
      </c>
      <c r="B111" s="161" t="e">
        <f>#REF!</f>
        <v>#REF!</v>
      </c>
      <c r="C111" s="161" t="e">
        <f>#REF!</f>
        <v>#REF!</v>
      </c>
      <c r="D111" s="161" t="e">
        <f>#REF!</f>
        <v>#REF!</v>
      </c>
      <c r="E111" s="161" t="e">
        <f>#REF!</f>
        <v>#REF!</v>
      </c>
      <c r="F111" s="161" t="e">
        <f>#REF!</f>
        <v>#REF!</v>
      </c>
      <c r="G111" s="161" t="e">
        <f>#REF!</f>
        <v>#REF!</v>
      </c>
      <c r="H111" s="161" t="e">
        <f>#REF!</f>
        <v>#REF!</v>
      </c>
    </row>
    <row r="112" spans="1:8" x14ac:dyDescent="0.3">
      <c r="A112" s="161" t="e">
        <f>#REF!</f>
        <v>#REF!</v>
      </c>
      <c r="B112" s="161" t="e">
        <f>#REF!</f>
        <v>#REF!</v>
      </c>
      <c r="C112" s="161" t="e">
        <f>#REF!</f>
        <v>#REF!</v>
      </c>
      <c r="D112" s="161" t="e">
        <f>#REF!</f>
        <v>#REF!</v>
      </c>
      <c r="E112" s="161" t="e">
        <f>#REF!</f>
        <v>#REF!</v>
      </c>
      <c r="F112" s="161" t="e">
        <f>#REF!</f>
        <v>#REF!</v>
      </c>
      <c r="G112" s="161" t="e">
        <f>#REF!</f>
        <v>#REF!</v>
      </c>
      <c r="H112" s="161" t="e">
        <f>#REF!</f>
        <v>#REF!</v>
      </c>
    </row>
    <row r="113" spans="1:8" x14ac:dyDescent="0.3">
      <c r="A113" s="161" t="e">
        <f>#REF!</f>
        <v>#REF!</v>
      </c>
      <c r="B113" s="161" t="e">
        <f>#REF!</f>
        <v>#REF!</v>
      </c>
      <c r="C113" s="161" t="e">
        <f>#REF!</f>
        <v>#REF!</v>
      </c>
      <c r="D113" s="161" t="e">
        <f>#REF!</f>
        <v>#REF!</v>
      </c>
      <c r="E113" s="161" t="e">
        <f>#REF!</f>
        <v>#REF!</v>
      </c>
      <c r="F113" s="161" t="e">
        <f>#REF!</f>
        <v>#REF!</v>
      </c>
      <c r="G113" s="161" t="e">
        <f>#REF!</f>
        <v>#REF!</v>
      </c>
      <c r="H113" s="161" t="e">
        <f>#REF!</f>
        <v>#REF!</v>
      </c>
    </row>
    <row r="114" spans="1:8" x14ac:dyDescent="0.3">
      <c r="A114" s="161" t="e">
        <f>#REF!</f>
        <v>#REF!</v>
      </c>
      <c r="B114" s="161" t="e">
        <f>#REF!</f>
        <v>#REF!</v>
      </c>
      <c r="C114" s="161" t="e">
        <f>#REF!</f>
        <v>#REF!</v>
      </c>
      <c r="D114" s="161" t="e">
        <f>#REF!</f>
        <v>#REF!</v>
      </c>
      <c r="E114" s="161" t="e">
        <f>#REF!</f>
        <v>#REF!</v>
      </c>
      <c r="F114" s="161" t="e">
        <f>#REF!</f>
        <v>#REF!</v>
      </c>
      <c r="G114" s="161" t="e">
        <f>#REF!</f>
        <v>#REF!</v>
      </c>
      <c r="H114" s="161" t="e">
        <f>#REF!</f>
        <v>#REF!</v>
      </c>
    </row>
    <row r="115" spans="1:8" x14ac:dyDescent="0.3">
      <c r="A115" s="161" t="e">
        <f>#REF!</f>
        <v>#REF!</v>
      </c>
      <c r="B115" s="161" t="e">
        <f>#REF!</f>
        <v>#REF!</v>
      </c>
      <c r="C115" s="161" t="e">
        <f>#REF!</f>
        <v>#REF!</v>
      </c>
      <c r="D115" s="161" t="e">
        <f>#REF!</f>
        <v>#REF!</v>
      </c>
      <c r="E115" s="161" t="e">
        <f>#REF!</f>
        <v>#REF!</v>
      </c>
      <c r="F115" s="161" t="e">
        <f>#REF!</f>
        <v>#REF!</v>
      </c>
      <c r="G115" s="161" t="e">
        <f>#REF!</f>
        <v>#REF!</v>
      </c>
      <c r="H115" s="161" t="e">
        <f>#REF!</f>
        <v>#REF!</v>
      </c>
    </row>
    <row r="116" spans="1:8" x14ac:dyDescent="0.3">
      <c r="A116" s="161" t="e">
        <f>#REF!</f>
        <v>#REF!</v>
      </c>
      <c r="B116" s="161" t="e">
        <f>#REF!</f>
        <v>#REF!</v>
      </c>
      <c r="C116" s="161" t="e">
        <f>#REF!</f>
        <v>#REF!</v>
      </c>
      <c r="D116" s="161" t="e">
        <f>#REF!</f>
        <v>#REF!</v>
      </c>
      <c r="E116" s="161" t="e">
        <f>#REF!</f>
        <v>#REF!</v>
      </c>
      <c r="F116" s="161" t="e">
        <f>#REF!</f>
        <v>#REF!</v>
      </c>
      <c r="G116" s="161" t="e">
        <f>#REF!</f>
        <v>#REF!</v>
      </c>
      <c r="H116" s="161" t="e">
        <f>#REF!</f>
        <v>#REF!</v>
      </c>
    </row>
    <row r="117" spans="1:8" x14ac:dyDescent="0.3">
      <c r="A117" s="161" t="e">
        <f>#REF!</f>
        <v>#REF!</v>
      </c>
      <c r="B117" s="161" t="e">
        <f>#REF!</f>
        <v>#REF!</v>
      </c>
      <c r="C117" s="161" t="e">
        <f>#REF!</f>
        <v>#REF!</v>
      </c>
      <c r="D117" s="161" t="e">
        <f>#REF!</f>
        <v>#REF!</v>
      </c>
      <c r="E117" s="161" t="e">
        <f>#REF!</f>
        <v>#REF!</v>
      </c>
      <c r="F117" s="161" t="e">
        <f>#REF!</f>
        <v>#REF!</v>
      </c>
      <c r="G117" s="161" t="e">
        <f>#REF!</f>
        <v>#REF!</v>
      </c>
      <c r="H117" s="161" t="e">
        <f>#REF!</f>
        <v>#REF!</v>
      </c>
    </row>
    <row r="118" spans="1:8" x14ac:dyDescent="0.3">
      <c r="A118" s="161" t="e">
        <f>#REF!</f>
        <v>#REF!</v>
      </c>
      <c r="B118" s="161" t="e">
        <f>#REF!</f>
        <v>#REF!</v>
      </c>
      <c r="C118" s="161" t="e">
        <f>#REF!</f>
        <v>#REF!</v>
      </c>
      <c r="D118" s="161" t="e">
        <f>#REF!</f>
        <v>#REF!</v>
      </c>
      <c r="E118" s="161" t="e">
        <f>#REF!</f>
        <v>#REF!</v>
      </c>
      <c r="F118" s="161" t="e">
        <f>#REF!</f>
        <v>#REF!</v>
      </c>
      <c r="G118" s="161" t="e">
        <f>#REF!</f>
        <v>#REF!</v>
      </c>
      <c r="H118" s="161" t="e">
        <f>#REF!</f>
        <v>#REF!</v>
      </c>
    </row>
    <row r="119" spans="1:8" x14ac:dyDescent="0.3">
      <c r="A119" s="161" t="e">
        <f>#REF!</f>
        <v>#REF!</v>
      </c>
      <c r="B119" s="161" t="e">
        <f>#REF!</f>
        <v>#REF!</v>
      </c>
      <c r="C119" s="161" t="e">
        <f>#REF!</f>
        <v>#REF!</v>
      </c>
      <c r="D119" s="161" t="e">
        <f>#REF!</f>
        <v>#REF!</v>
      </c>
      <c r="E119" s="161" t="e">
        <f>#REF!</f>
        <v>#REF!</v>
      </c>
      <c r="F119" s="161" t="e">
        <f>#REF!</f>
        <v>#REF!</v>
      </c>
      <c r="G119" s="161" t="e">
        <f>#REF!</f>
        <v>#REF!</v>
      </c>
      <c r="H119" s="161" t="e">
        <f>#REF!</f>
        <v>#REF!</v>
      </c>
    </row>
    <row r="120" spans="1:8" x14ac:dyDescent="0.3">
      <c r="A120" s="161" t="e">
        <f>#REF!</f>
        <v>#REF!</v>
      </c>
      <c r="B120" s="161" t="e">
        <f>#REF!</f>
        <v>#REF!</v>
      </c>
      <c r="C120" s="161" t="e">
        <f>#REF!</f>
        <v>#REF!</v>
      </c>
      <c r="D120" s="161" t="e">
        <f>#REF!</f>
        <v>#REF!</v>
      </c>
      <c r="E120" s="161" t="e">
        <f>#REF!</f>
        <v>#REF!</v>
      </c>
      <c r="F120" s="161" t="e">
        <f>#REF!</f>
        <v>#REF!</v>
      </c>
      <c r="G120" s="161" t="e">
        <f>#REF!</f>
        <v>#REF!</v>
      </c>
      <c r="H120" s="161" t="e">
        <f>#REF!</f>
        <v>#REF!</v>
      </c>
    </row>
    <row r="121" spans="1:8" x14ac:dyDescent="0.3">
      <c r="A121" s="161" t="e">
        <f>#REF!</f>
        <v>#REF!</v>
      </c>
      <c r="B121" s="161" t="e">
        <f>#REF!</f>
        <v>#REF!</v>
      </c>
      <c r="C121" s="161" t="e">
        <f>#REF!</f>
        <v>#REF!</v>
      </c>
      <c r="D121" s="161" t="e">
        <f>#REF!</f>
        <v>#REF!</v>
      </c>
      <c r="E121" s="161" t="e">
        <f>#REF!</f>
        <v>#REF!</v>
      </c>
      <c r="F121" s="161" t="e">
        <f>#REF!</f>
        <v>#REF!</v>
      </c>
      <c r="G121" s="161" t="e">
        <f>#REF!</f>
        <v>#REF!</v>
      </c>
      <c r="H121" s="161" t="e">
        <f>#REF!</f>
        <v>#REF!</v>
      </c>
    </row>
    <row r="122" spans="1:8" x14ac:dyDescent="0.3">
      <c r="A122" s="161" t="e">
        <f>#REF!</f>
        <v>#REF!</v>
      </c>
      <c r="B122" s="161" t="e">
        <f>#REF!</f>
        <v>#REF!</v>
      </c>
      <c r="C122" s="161" t="e">
        <f>#REF!</f>
        <v>#REF!</v>
      </c>
      <c r="D122" s="161" t="e">
        <f>#REF!</f>
        <v>#REF!</v>
      </c>
      <c r="E122" s="161" t="e">
        <f>#REF!</f>
        <v>#REF!</v>
      </c>
      <c r="F122" s="161" t="e">
        <f>#REF!</f>
        <v>#REF!</v>
      </c>
      <c r="G122" s="161" t="e">
        <f>#REF!</f>
        <v>#REF!</v>
      </c>
      <c r="H122" s="161" t="e">
        <f>#REF!</f>
        <v>#REF!</v>
      </c>
    </row>
    <row r="123" spans="1:8" x14ac:dyDescent="0.3">
      <c r="A123" s="161" t="e">
        <f>#REF!</f>
        <v>#REF!</v>
      </c>
      <c r="B123" s="161" t="e">
        <f>#REF!</f>
        <v>#REF!</v>
      </c>
      <c r="C123" s="161" t="e">
        <f>#REF!</f>
        <v>#REF!</v>
      </c>
      <c r="D123" s="161" t="e">
        <f>#REF!</f>
        <v>#REF!</v>
      </c>
      <c r="E123" s="161" t="e">
        <f>#REF!</f>
        <v>#REF!</v>
      </c>
      <c r="F123" s="161" t="e">
        <f>#REF!</f>
        <v>#REF!</v>
      </c>
      <c r="G123" s="161" t="e">
        <f>#REF!</f>
        <v>#REF!</v>
      </c>
      <c r="H123" s="161" t="e">
        <f>#REF!</f>
        <v>#REF!</v>
      </c>
    </row>
    <row r="124" spans="1:8" x14ac:dyDescent="0.3">
      <c r="A124" s="161" t="e">
        <f>#REF!</f>
        <v>#REF!</v>
      </c>
      <c r="B124" s="161" t="e">
        <f>#REF!</f>
        <v>#REF!</v>
      </c>
      <c r="C124" s="161" t="e">
        <f>#REF!</f>
        <v>#REF!</v>
      </c>
      <c r="D124" s="161" t="e">
        <f>#REF!</f>
        <v>#REF!</v>
      </c>
      <c r="E124" s="161" t="e">
        <f>#REF!</f>
        <v>#REF!</v>
      </c>
      <c r="F124" s="161" t="e">
        <f>#REF!</f>
        <v>#REF!</v>
      </c>
      <c r="G124" s="161" t="e">
        <f>#REF!</f>
        <v>#REF!</v>
      </c>
      <c r="H124" s="161" t="e">
        <f>#REF!</f>
        <v>#REF!</v>
      </c>
    </row>
    <row r="125" spans="1:8" x14ac:dyDescent="0.3">
      <c r="A125" s="161" t="e">
        <f>#REF!</f>
        <v>#REF!</v>
      </c>
      <c r="B125" s="161" t="e">
        <f>#REF!</f>
        <v>#REF!</v>
      </c>
      <c r="C125" s="161" t="e">
        <f>#REF!</f>
        <v>#REF!</v>
      </c>
      <c r="D125" s="161" t="e">
        <f>#REF!</f>
        <v>#REF!</v>
      </c>
      <c r="E125" s="161" t="e">
        <f>#REF!</f>
        <v>#REF!</v>
      </c>
      <c r="F125" s="161" t="e">
        <f>#REF!</f>
        <v>#REF!</v>
      </c>
      <c r="G125" s="161" t="e">
        <f>#REF!</f>
        <v>#REF!</v>
      </c>
      <c r="H125" s="161" t="e">
        <f>#REF!</f>
        <v>#REF!</v>
      </c>
    </row>
    <row r="126" spans="1:8" x14ac:dyDescent="0.3">
      <c r="A126" s="161" t="e">
        <f>#REF!</f>
        <v>#REF!</v>
      </c>
      <c r="B126" s="161" t="e">
        <f>#REF!</f>
        <v>#REF!</v>
      </c>
      <c r="C126" s="161" t="e">
        <f>#REF!</f>
        <v>#REF!</v>
      </c>
      <c r="D126" s="161" t="e">
        <f>#REF!</f>
        <v>#REF!</v>
      </c>
      <c r="E126" s="161" t="e">
        <f>#REF!</f>
        <v>#REF!</v>
      </c>
      <c r="F126" s="161" t="e">
        <f>#REF!</f>
        <v>#REF!</v>
      </c>
      <c r="G126" s="161" t="e">
        <f>#REF!</f>
        <v>#REF!</v>
      </c>
      <c r="H126" s="161" t="e">
        <f>#REF!</f>
        <v>#REF!</v>
      </c>
    </row>
    <row r="127" spans="1:8" x14ac:dyDescent="0.3">
      <c r="A127" s="161" t="e">
        <f>#REF!</f>
        <v>#REF!</v>
      </c>
      <c r="B127" s="161" t="e">
        <f>#REF!</f>
        <v>#REF!</v>
      </c>
      <c r="C127" s="161" t="e">
        <f>#REF!</f>
        <v>#REF!</v>
      </c>
      <c r="D127" s="161" t="e">
        <f>#REF!</f>
        <v>#REF!</v>
      </c>
      <c r="E127" s="161" t="e">
        <f>#REF!</f>
        <v>#REF!</v>
      </c>
      <c r="F127" s="161" t="e">
        <f>#REF!</f>
        <v>#REF!</v>
      </c>
      <c r="G127" s="161" t="e">
        <f>#REF!</f>
        <v>#REF!</v>
      </c>
      <c r="H127" s="161" t="e">
        <f>#REF!</f>
        <v>#REF!</v>
      </c>
    </row>
    <row r="128" spans="1:8" x14ac:dyDescent="0.3">
      <c r="A128" s="161" t="e">
        <f>#REF!</f>
        <v>#REF!</v>
      </c>
      <c r="B128" s="161" t="e">
        <f>#REF!</f>
        <v>#REF!</v>
      </c>
      <c r="C128" s="161" t="e">
        <f>#REF!</f>
        <v>#REF!</v>
      </c>
      <c r="D128" s="161" t="e">
        <f>#REF!</f>
        <v>#REF!</v>
      </c>
      <c r="E128" s="161" t="e">
        <f>#REF!</f>
        <v>#REF!</v>
      </c>
      <c r="F128" s="161" t="e">
        <f>#REF!</f>
        <v>#REF!</v>
      </c>
      <c r="G128" s="161" t="e">
        <f>#REF!</f>
        <v>#REF!</v>
      </c>
      <c r="H128" s="161" t="e">
        <f>#REF!</f>
        <v>#REF!</v>
      </c>
    </row>
    <row r="129" spans="1:8" x14ac:dyDescent="0.3">
      <c r="A129" s="161" t="e">
        <f>#REF!</f>
        <v>#REF!</v>
      </c>
      <c r="B129" s="161" t="e">
        <f>#REF!</f>
        <v>#REF!</v>
      </c>
      <c r="C129" s="161" t="e">
        <f>#REF!</f>
        <v>#REF!</v>
      </c>
      <c r="D129" s="161" t="e">
        <f>#REF!</f>
        <v>#REF!</v>
      </c>
      <c r="E129" s="161" t="e">
        <f>#REF!</f>
        <v>#REF!</v>
      </c>
      <c r="F129" s="161" t="e">
        <f>#REF!</f>
        <v>#REF!</v>
      </c>
      <c r="G129" s="161" t="e">
        <f>#REF!</f>
        <v>#REF!</v>
      </c>
      <c r="H129" s="161" t="e">
        <f>#REF!</f>
        <v>#REF!</v>
      </c>
    </row>
    <row r="130" spans="1:8" x14ac:dyDescent="0.3">
      <c r="A130" s="161" t="e">
        <f>#REF!</f>
        <v>#REF!</v>
      </c>
      <c r="B130" s="161" t="e">
        <f>#REF!</f>
        <v>#REF!</v>
      </c>
      <c r="C130" s="161" t="e">
        <f>#REF!</f>
        <v>#REF!</v>
      </c>
      <c r="D130" s="161" t="e">
        <f>#REF!</f>
        <v>#REF!</v>
      </c>
      <c r="E130" s="161" t="e">
        <f>#REF!</f>
        <v>#REF!</v>
      </c>
      <c r="F130" s="161" t="e">
        <f>#REF!</f>
        <v>#REF!</v>
      </c>
      <c r="G130" s="161" t="e">
        <f>#REF!</f>
        <v>#REF!</v>
      </c>
      <c r="H130" s="161" t="e">
        <f>#REF!</f>
        <v>#REF!</v>
      </c>
    </row>
    <row r="131" spans="1:8" x14ac:dyDescent="0.3">
      <c r="A131" s="161" t="e">
        <f>#REF!</f>
        <v>#REF!</v>
      </c>
      <c r="B131" s="161" t="e">
        <f>#REF!</f>
        <v>#REF!</v>
      </c>
      <c r="C131" s="161" t="e">
        <f>#REF!</f>
        <v>#REF!</v>
      </c>
      <c r="D131" s="161" t="e">
        <f>#REF!</f>
        <v>#REF!</v>
      </c>
      <c r="E131" s="161" t="e">
        <f>#REF!</f>
        <v>#REF!</v>
      </c>
      <c r="F131" s="161" t="e">
        <f>#REF!</f>
        <v>#REF!</v>
      </c>
      <c r="G131" s="161" t="e">
        <f>#REF!</f>
        <v>#REF!</v>
      </c>
      <c r="H131" s="161" t="e">
        <f>#REF!</f>
        <v>#REF!</v>
      </c>
    </row>
    <row r="132" spans="1:8" x14ac:dyDescent="0.3">
      <c r="A132" s="161" t="e">
        <f>#REF!</f>
        <v>#REF!</v>
      </c>
      <c r="B132" s="161" t="e">
        <f>#REF!</f>
        <v>#REF!</v>
      </c>
      <c r="C132" s="161" t="e">
        <f>#REF!</f>
        <v>#REF!</v>
      </c>
      <c r="D132" s="161" t="e">
        <f>#REF!</f>
        <v>#REF!</v>
      </c>
      <c r="E132" s="161" t="e">
        <f>#REF!</f>
        <v>#REF!</v>
      </c>
      <c r="F132" s="161" t="e">
        <f>#REF!</f>
        <v>#REF!</v>
      </c>
      <c r="G132" s="161" t="e">
        <f>#REF!</f>
        <v>#REF!</v>
      </c>
      <c r="H132" s="161" t="e">
        <f>#REF!</f>
        <v>#REF!</v>
      </c>
    </row>
    <row r="133" spans="1:8" x14ac:dyDescent="0.3">
      <c r="A133" s="161" t="e">
        <f>#REF!</f>
        <v>#REF!</v>
      </c>
      <c r="B133" s="161" t="e">
        <f>#REF!</f>
        <v>#REF!</v>
      </c>
      <c r="C133" s="161" t="e">
        <f>#REF!</f>
        <v>#REF!</v>
      </c>
      <c r="D133" s="161" t="e">
        <f>#REF!</f>
        <v>#REF!</v>
      </c>
      <c r="E133" s="161" t="e">
        <f>#REF!</f>
        <v>#REF!</v>
      </c>
      <c r="F133" s="161" t="e">
        <f>#REF!</f>
        <v>#REF!</v>
      </c>
      <c r="G133" s="161" t="e">
        <f>#REF!</f>
        <v>#REF!</v>
      </c>
      <c r="H133" s="161" t="e">
        <f>#REF!</f>
        <v>#REF!</v>
      </c>
    </row>
    <row r="134" spans="1:8" x14ac:dyDescent="0.3">
      <c r="A134" s="161" t="e">
        <f>#REF!</f>
        <v>#REF!</v>
      </c>
      <c r="B134" s="161" t="e">
        <f>#REF!</f>
        <v>#REF!</v>
      </c>
      <c r="C134" s="161" t="e">
        <f>#REF!</f>
        <v>#REF!</v>
      </c>
      <c r="D134" s="161" t="e">
        <f>#REF!</f>
        <v>#REF!</v>
      </c>
      <c r="E134" s="161" t="e">
        <f>#REF!</f>
        <v>#REF!</v>
      </c>
      <c r="F134" s="161" t="e">
        <f>#REF!</f>
        <v>#REF!</v>
      </c>
      <c r="G134" s="161" t="e">
        <f>#REF!</f>
        <v>#REF!</v>
      </c>
      <c r="H134" s="161" t="e">
        <f>#REF!</f>
        <v>#REF!</v>
      </c>
    </row>
    <row r="135" spans="1:8" x14ac:dyDescent="0.3">
      <c r="A135" s="161" t="e">
        <f>#REF!</f>
        <v>#REF!</v>
      </c>
      <c r="B135" s="161" t="e">
        <f>#REF!</f>
        <v>#REF!</v>
      </c>
      <c r="C135" s="161" t="e">
        <f>#REF!</f>
        <v>#REF!</v>
      </c>
      <c r="D135" s="161" t="e">
        <f>#REF!</f>
        <v>#REF!</v>
      </c>
      <c r="E135" s="161" t="e">
        <f>#REF!</f>
        <v>#REF!</v>
      </c>
      <c r="F135" s="161" t="e">
        <f>#REF!</f>
        <v>#REF!</v>
      </c>
      <c r="G135" s="161" t="e">
        <f>#REF!</f>
        <v>#REF!</v>
      </c>
      <c r="H135" s="161" t="e">
        <f>#REF!</f>
        <v>#REF!</v>
      </c>
    </row>
    <row r="136" spans="1:8" x14ac:dyDescent="0.3">
      <c r="A136" s="161" t="e">
        <f>#REF!</f>
        <v>#REF!</v>
      </c>
      <c r="B136" s="161" t="e">
        <f>#REF!</f>
        <v>#REF!</v>
      </c>
      <c r="C136" s="161" t="e">
        <f>#REF!</f>
        <v>#REF!</v>
      </c>
      <c r="D136" s="161" t="e">
        <f>#REF!</f>
        <v>#REF!</v>
      </c>
      <c r="E136" s="161" t="e">
        <f>#REF!</f>
        <v>#REF!</v>
      </c>
      <c r="F136" s="161" t="e">
        <f>#REF!</f>
        <v>#REF!</v>
      </c>
      <c r="G136" s="161" t="e">
        <f>#REF!</f>
        <v>#REF!</v>
      </c>
      <c r="H136" s="161" t="e">
        <f>#REF!</f>
        <v>#REF!</v>
      </c>
    </row>
    <row r="137" spans="1:8" x14ac:dyDescent="0.3">
      <c r="A137" s="161" t="e">
        <f>#REF!</f>
        <v>#REF!</v>
      </c>
      <c r="B137" s="161" t="e">
        <f>#REF!</f>
        <v>#REF!</v>
      </c>
      <c r="C137" s="161" t="e">
        <f>#REF!</f>
        <v>#REF!</v>
      </c>
      <c r="D137" s="161" t="e">
        <f>#REF!</f>
        <v>#REF!</v>
      </c>
      <c r="E137" s="161" t="e">
        <f>#REF!</f>
        <v>#REF!</v>
      </c>
      <c r="F137" s="161" t="e">
        <f>#REF!</f>
        <v>#REF!</v>
      </c>
      <c r="G137" s="161" t="e">
        <f>#REF!</f>
        <v>#REF!</v>
      </c>
      <c r="H137" s="161" t="e">
        <f>#REF!</f>
        <v>#REF!</v>
      </c>
    </row>
    <row r="138" spans="1:8" x14ac:dyDescent="0.3">
      <c r="A138" s="161" t="e">
        <f>#REF!</f>
        <v>#REF!</v>
      </c>
      <c r="B138" s="161" t="e">
        <f>#REF!</f>
        <v>#REF!</v>
      </c>
      <c r="C138" s="161" t="e">
        <f>#REF!</f>
        <v>#REF!</v>
      </c>
      <c r="D138" s="161" t="e">
        <f>#REF!</f>
        <v>#REF!</v>
      </c>
      <c r="E138" s="161" t="e">
        <f>#REF!</f>
        <v>#REF!</v>
      </c>
      <c r="F138" s="161" t="e">
        <f>#REF!</f>
        <v>#REF!</v>
      </c>
      <c r="G138" s="161" t="e">
        <f>#REF!</f>
        <v>#REF!</v>
      </c>
      <c r="H138" s="161" t="e">
        <f>#REF!</f>
        <v>#REF!</v>
      </c>
    </row>
    <row r="139" spans="1:8" x14ac:dyDescent="0.3">
      <c r="A139" s="161" t="e">
        <f>#REF!</f>
        <v>#REF!</v>
      </c>
      <c r="B139" s="161" t="e">
        <f>#REF!</f>
        <v>#REF!</v>
      </c>
      <c r="C139" s="161" t="e">
        <f>#REF!</f>
        <v>#REF!</v>
      </c>
      <c r="D139" s="161" t="e">
        <f>#REF!</f>
        <v>#REF!</v>
      </c>
      <c r="E139" s="161" t="e">
        <f>#REF!</f>
        <v>#REF!</v>
      </c>
      <c r="F139" s="161" t="e">
        <f>#REF!</f>
        <v>#REF!</v>
      </c>
      <c r="G139" s="161" t="e">
        <f>#REF!</f>
        <v>#REF!</v>
      </c>
      <c r="H139" s="161" t="e">
        <f>#REF!</f>
        <v>#REF!</v>
      </c>
    </row>
    <row r="140" spans="1:8" x14ac:dyDescent="0.3">
      <c r="A140" s="161" t="e">
        <f>#REF!</f>
        <v>#REF!</v>
      </c>
      <c r="B140" s="161" t="e">
        <f>#REF!</f>
        <v>#REF!</v>
      </c>
      <c r="C140" s="161" t="e">
        <f>#REF!</f>
        <v>#REF!</v>
      </c>
      <c r="D140" s="161" t="e">
        <f>#REF!</f>
        <v>#REF!</v>
      </c>
      <c r="E140" s="161" t="e">
        <f>#REF!</f>
        <v>#REF!</v>
      </c>
      <c r="F140" s="161" t="e">
        <f>#REF!</f>
        <v>#REF!</v>
      </c>
      <c r="G140" s="161" t="e">
        <f>#REF!</f>
        <v>#REF!</v>
      </c>
      <c r="H140" s="161" t="e">
        <f>#REF!</f>
        <v>#REF!</v>
      </c>
    </row>
    <row r="141" spans="1:8" x14ac:dyDescent="0.3">
      <c r="A141" s="161" t="e">
        <f>#REF!</f>
        <v>#REF!</v>
      </c>
      <c r="B141" s="161" t="e">
        <f>#REF!</f>
        <v>#REF!</v>
      </c>
      <c r="C141" s="161" t="e">
        <f>#REF!</f>
        <v>#REF!</v>
      </c>
      <c r="D141" s="161" t="e">
        <f>#REF!</f>
        <v>#REF!</v>
      </c>
      <c r="E141" s="161" t="e">
        <f>#REF!</f>
        <v>#REF!</v>
      </c>
      <c r="F141" s="161" t="e">
        <f>#REF!</f>
        <v>#REF!</v>
      </c>
      <c r="G141" s="161" t="e">
        <f>#REF!</f>
        <v>#REF!</v>
      </c>
      <c r="H141" s="161" t="e">
        <f>#REF!</f>
        <v>#REF!</v>
      </c>
    </row>
    <row r="142" spans="1:8" x14ac:dyDescent="0.3">
      <c r="A142" s="161" t="e">
        <f>#REF!</f>
        <v>#REF!</v>
      </c>
      <c r="B142" s="161" t="e">
        <f>#REF!</f>
        <v>#REF!</v>
      </c>
      <c r="C142" s="161" t="e">
        <f>#REF!</f>
        <v>#REF!</v>
      </c>
      <c r="D142" s="161" t="e">
        <f>#REF!</f>
        <v>#REF!</v>
      </c>
      <c r="E142" s="161" t="e">
        <f>#REF!</f>
        <v>#REF!</v>
      </c>
      <c r="F142" s="161" t="e">
        <f>#REF!</f>
        <v>#REF!</v>
      </c>
      <c r="G142" s="161" t="e">
        <f>#REF!</f>
        <v>#REF!</v>
      </c>
      <c r="H142" s="161" t="e">
        <f>#REF!</f>
        <v>#REF!</v>
      </c>
    </row>
    <row r="143" spans="1:8" x14ac:dyDescent="0.3">
      <c r="A143" s="161" t="e">
        <f>#REF!</f>
        <v>#REF!</v>
      </c>
      <c r="B143" s="161" t="e">
        <f>#REF!</f>
        <v>#REF!</v>
      </c>
      <c r="C143" s="161" t="e">
        <f>#REF!</f>
        <v>#REF!</v>
      </c>
      <c r="D143" s="161" t="e">
        <f>#REF!</f>
        <v>#REF!</v>
      </c>
      <c r="E143" s="161" t="e">
        <f>#REF!</f>
        <v>#REF!</v>
      </c>
      <c r="F143" s="161" t="e">
        <f>#REF!</f>
        <v>#REF!</v>
      </c>
      <c r="G143" s="161" t="e">
        <f>#REF!</f>
        <v>#REF!</v>
      </c>
      <c r="H143" s="161" t="e">
        <f>#REF!</f>
        <v>#REF!</v>
      </c>
    </row>
    <row r="144" spans="1:8" x14ac:dyDescent="0.3">
      <c r="A144" s="161" t="e">
        <f>#REF!</f>
        <v>#REF!</v>
      </c>
      <c r="B144" s="161" t="e">
        <f>#REF!</f>
        <v>#REF!</v>
      </c>
      <c r="C144" s="161" t="e">
        <f>#REF!</f>
        <v>#REF!</v>
      </c>
      <c r="D144" s="161" t="e">
        <f>#REF!</f>
        <v>#REF!</v>
      </c>
      <c r="E144" s="161" t="e">
        <f>#REF!</f>
        <v>#REF!</v>
      </c>
      <c r="F144" s="161" t="e">
        <f>#REF!</f>
        <v>#REF!</v>
      </c>
      <c r="G144" s="161" t="e">
        <f>#REF!</f>
        <v>#REF!</v>
      </c>
      <c r="H144" s="161" t="e">
        <f>#REF!</f>
        <v>#REF!</v>
      </c>
    </row>
    <row r="145" spans="1:8" x14ac:dyDescent="0.3">
      <c r="A145" s="161" t="e">
        <f>#REF!</f>
        <v>#REF!</v>
      </c>
      <c r="B145" s="161" t="e">
        <f>#REF!</f>
        <v>#REF!</v>
      </c>
      <c r="C145" s="161" t="e">
        <f>#REF!</f>
        <v>#REF!</v>
      </c>
      <c r="D145" s="161" t="e">
        <f>#REF!</f>
        <v>#REF!</v>
      </c>
      <c r="E145" s="161" t="e">
        <f>#REF!</f>
        <v>#REF!</v>
      </c>
      <c r="F145" s="161" t="e">
        <f>#REF!</f>
        <v>#REF!</v>
      </c>
      <c r="G145" s="161" t="e">
        <f>#REF!</f>
        <v>#REF!</v>
      </c>
      <c r="H145" s="161" t="e">
        <f>#REF!</f>
        <v>#REF!</v>
      </c>
    </row>
    <row r="146" spans="1:8" x14ac:dyDescent="0.3">
      <c r="A146" s="161" t="e">
        <f>#REF!</f>
        <v>#REF!</v>
      </c>
      <c r="B146" s="161" t="e">
        <f>#REF!</f>
        <v>#REF!</v>
      </c>
      <c r="C146" s="161" t="e">
        <f>#REF!</f>
        <v>#REF!</v>
      </c>
      <c r="D146" s="161" t="e">
        <f>#REF!</f>
        <v>#REF!</v>
      </c>
      <c r="E146" s="161" t="e">
        <f>#REF!</f>
        <v>#REF!</v>
      </c>
      <c r="F146" s="161" t="e">
        <f>#REF!</f>
        <v>#REF!</v>
      </c>
      <c r="G146" s="161" t="e">
        <f>#REF!</f>
        <v>#REF!</v>
      </c>
      <c r="H146" s="161" t="e">
        <f>#REF!</f>
        <v>#REF!</v>
      </c>
    </row>
    <row r="147" spans="1:8" x14ac:dyDescent="0.3">
      <c r="A147" s="161" t="e">
        <f>#REF!</f>
        <v>#REF!</v>
      </c>
      <c r="B147" s="161" t="e">
        <f>#REF!</f>
        <v>#REF!</v>
      </c>
      <c r="C147" s="161" t="e">
        <f>#REF!</f>
        <v>#REF!</v>
      </c>
      <c r="D147" s="161" t="e">
        <f>#REF!</f>
        <v>#REF!</v>
      </c>
      <c r="E147" s="161" t="e">
        <f>#REF!</f>
        <v>#REF!</v>
      </c>
      <c r="F147" s="161" t="e">
        <f>#REF!</f>
        <v>#REF!</v>
      </c>
      <c r="G147" s="161" t="e">
        <f>#REF!</f>
        <v>#REF!</v>
      </c>
      <c r="H147" s="161" t="e">
        <f>#REF!</f>
        <v>#REF!</v>
      </c>
    </row>
    <row r="148" spans="1:8" x14ac:dyDescent="0.3">
      <c r="A148" s="161" t="e">
        <f>#REF!</f>
        <v>#REF!</v>
      </c>
      <c r="B148" s="161" t="e">
        <f>#REF!</f>
        <v>#REF!</v>
      </c>
      <c r="C148" s="161" t="e">
        <f>#REF!</f>
        <v>#REF!</v>
      </c>
      <c r="D148" s="161" t="e">
        <f>#REF!</f>
        <v>#REF!</v>
      </c>
      <c r="E148" s="161" t="e">
        <f>#REF!</f>
        <v>#REF!</v>
      </c>
      <c r="F148" s="161" t="e">
        <f>#REF!</f>
        <v>#REF!</v>
      </c>
      <c r="G148" s="161" t="e">
        <f>#REF!</f>
        <v>#REF!</v>
      </c>
      <c r="H148" s="161" t="e">
        <f>#REF!</f>
        <v>#REF!</v>
      </c>
    </row>
    <row r="149" spans="1:8" x14ac:dyDescent="0.3">
      <c r="A149" s="161" t="e">
        <f>#REF!</f>
        <v>#REF!</v>
      </c>
      <c r="B149" s="161" t="e">
        <f>#REF!</f>
        <v>#REF!</v>
      </c>
      <c r="C149" s="161" t="e">
        <f>#REF!</f>
        <v>#REF!</v>
      </c>
      <c r="D149" s="161" t="e">
        <f>#REF!</f>
        <v>#REF!</v>
      </c>
      <c r="E149" s="161" t="e">
        <f>#REF!</f>
        <v>#REF!</v>
      </c>
      <c r="F149" s="161" t="e">
        <f>#REF!</f>
        <v>#REF!</v>
      </c>
      <c r="G149" s="161" t="e">
        <f>#REF!</f>
        <v>#REF!</v>
      </c>
      <c r="H149" s="161" t="e">
        <f>#REF!</f>
        <v>#REF!</v>
      </c>
    </row>
    <row r="150" spans="1:8" x14ac:dyDescent="0.3">
      <c r="A150" s="161" t="e">
        <f>#REF!</f>
        <v>#REF!</v>
      </c>
      <c r="B150" s="161" t="e">
        <f>#REF!</f>
        <v>#REF!</v>
      </c>
      <c r="C150" s="161" t="e">
        <f>#REF!</f>
        <v>#REF!</v>
      </c>
      <c r="D150" s="161" t="e">
        <f>#REF!</f>
        <v>#REF!</v>
      </c>
      <c r="E150" s="161" t="e">
        <f>#REF!</f>
        <v>#REF!</v>
      </c>
      <c r="F150" s="161" t="e">
        <f>#REF!</f>
        <v>#REF!</v>
      </c>
      <c r="G150" s="161" t="e">
        <f>#REF!</f>
        <v>#REF!</v>
      </c>
      <c r="H150" s="161" t="e">
        <f>#REF!</f>
        <v>#REF!</v>
      </c>
    </row>
    <row r="151" spans="1:8" x14ac:dyDescent="0.3">
      <c r="A151" s="161" t="e">
        <f>#REF!</f>
        <v>#REF!</v>
      </c>
      <c r="B151" s="161" t="e">
        <f>#REF!</f>
        <v>#REF!</v>
      </c>
      <c r="C151" s="161" t="e">
        <f>#REF!</f>
        <v>#REF!</v>
      </c>
      <c r="D151" s="161" t="e">
        <f>#REF!</f>
        <v>#REF!</v>
      </c>
      <c r="E151" s="161" t="e">
        <f>#REF!</f>
        <v>#REF!</v>
      </c>
      <c r="F151" s="161" t="e">
        <f>#REF!</f>
        <v>#REF!</v>
      </c>
      <c r="G151" s="161" t="e">
        <f>#REF!</f>
        <v>#REF!</v>
      </c>
      <c r="H151" s="161" t="e">
        <f>#REF!</f>
        <v>#REF!</v>
      </c>
    </row>
    <row r="152" spans="1:8" x14ac:dyDescent="0.3">
      <c r="A152" s="161" t="e">
        <f>#REF!</f>
        <v>#REF!</v>
      </c>
      <c r="B152" s="161" t="e">
        <f>#REF!</f>
        <v>#REF!</v>
      </c>
      <c r="C152" s="161" t="e">
        <f>#REF!</f>
        <v>#REF!</v>
      </c>
      <c r="D152" s="161" t="e">
        <f>#REF!</f>
        <v>#REF!</v>
      </c>
      <c r="E152" s="161" t="e">
        <f>#REF!</f>
        <v>#REF!</v>
      </c>
      <c r="F152" s="161" t="e">
        <f>#REF!</f>
        <v>#REF!</v>
      </c>
      <c r="G152" s="161" t="e">
        <f>#REF!</f>
        <v>#REF!</v>
      </c>
      <c r="H152" s="161" t="e">
        <f>#REF!</f>
        <v>#REF!</v>
      </c>
    </row>
    <row r="153" spans="1:8" x14ac:dyDescent="0.3">
      <c r="A153" s="161" t="e">
        <f>#REF!</f>
        <v>#REF!</v>
      </c>
      <c r="B153" s="161" t="e">
        <f>#REF!</f>
        <v>#REF!</v>
      </c>
      <c r="C153" s="161" t="e">
        <f>#REF!</f>
        <v>#REF!</v>
      </c>
      <c r="D153" s="161" t="e">
        <f>#REF!</f>
        <v>#REF!</v>
      </c>
      <c r="E153" s="161" t="e">
        <f>#REF!</f>
        <v>#REF!</v>
      </c>
      <c r="F153" s="161" t="e">
        <f>#REF!</f>
        <v>#REF!</v>
      </c>
      <c r="G153" s="161" t="e">
        <f>#REF!</f>
        <v>#REF!</v>
      </c>
      <c r="H153" s="161" t="e">
        <f>#REF!</f>
        <v>#REF!</v>
      </c>
    </row>
    <row r="154" spans="1:8" x14ac:dyDescent="0.3">
      <c r="A154" s="161" t="e">
        <f>#REF!</f>
        <v>#REF!</v>
      </c>
      <c r="B154" s="161" t="e">
        <f>#REF!</f>
        <v>#REF!</v>
      </c>
      <c r="C154" s="161" t="e">
        <f>#REF!</f>
        <v>#REF!</v>
      </c>
      <c r="D154" s="161" t="e">
        <f>#REF!</f>
        <v>#REF!</v>
      </c>
      <c r="E154" s="161" t="e">
        <f>#REF!</f>
        <v>#REF!</v>
      </c>
      <c r="F154" s="161" t="e">
        <f>#REF!</f>
        <v>#REF!</v>
      </c>
      <c r="G154" s="161" t="e">
        <f>#REF!</f>
        <v>#REF!</v>
      </c>
      <c r="H154" s="161" t="e">
        <f>#REF!</f>
        <v>#REF!</v>
      </c>
    </row>
    <row r="155" spans="1:8" x14ac:dyDescent="0.3">
      <c r="A155" s="161" t="e">
        <f>#REF!</f>
        <v>#REF!</v>
      </c>
      <c r="B155" s="161" t="e">
        <f>#REF!</f>
        <v>#REF!</v>
      </c>
      <c r="C155" s="161" t="e">
        <f>#REF!</f>
        <v>#REF!</v>
      </c>
      <c r="D155" s="161" t="e">
        <f>#REF!</f>
        <v>#REF!</v>
      </c>
      <c r="E155" s="161" t="e">
        <f>#REF!</f>
        <v>#REF!</v>
      </c>
      <c r="F155" s="161" t="e">
        <f>#REF!</f>
        <v>#REF!</v>
      </c>
      <c r="G155" s="161" t="e">
        <f>#REF!</f>
        <v>#REF!</v>
      </c>
      <c r="H155" s="161" t="e">
        <f>#REF!</f>
        <v>#REF!</v>
      </c>
    </row>
    <row r="156" spans="1:8" x14ac:dyDescent="0.3">
      <c r="A156" s="161" t="e">
        <f>#REF!</f>
        <v>#REF!</v>
      </c>
      <c r="B156" s="161" t="e">
        <f>#REF!</f>
        <v>#REF!</v>
      </c>
      <c r="C156" s="161" t="e">
        <f>#REF!</f>
        <v>#REF!</v>
      </c>
      <c r="D156" s="161" t="e">
        <f>#REF!</f>
        <v>#REF!</v>
      </c>
      <c r="E156" s="161" t="e">
        <f>#REF!</f>
        <v>#REF!</v>
      </c>
      <c r="F156" s="161" t="e">
        <f>#REF!</f>
        <v>#REF!</v>
      </c>
      <c r="G156" s="161" t="e">
        <f>#REF!</f>
        <v>#REF!</v>
      </c>
      <c r="H156" s="161" t="e">
        <f>#REF!</f>
        <v>#REF!</v>
      </c>
    </row>
    <row r="157" spans="1:8" x14ac:dyDescent="0.3">
      <c r="A157" s="161" t="e">
        <f>#REF!</f>
        <v>#REF!</v>
      </c>
      <c r="B157" s="161" t="e">
        <f>#REF!</f>
        <v>#REF!</v>
      </c>
      <c r="C157" s="161" t="e">
        <f>#REF!</f>
        <v>#REF!</v>
      </c>
      <c r="D157" s="161" t="e">
        <f>#REF!</f>
        <v>#REF!</v>
      </c>
      <c r="E157" s="161" t="e">
        <f>#REF!</f>
        <v>#REF!</v>
      </c>
      <c r="F157" s="161" t="e">
        <f>#REF!</f>
        <v>#REF!</v>
      </c>
      <c r="G157" s="161" t="e">
        <f>#REF!</f>
        <v>#REF!</v>
      </c>
      <c r="H157" s="161" t="e">
        <f>#REF!</f>
        <v>#REF!</v>
      </c>
    </row>
    <row r="158" spans="1:8" x14ac:dyDescent="0.3">
      <c r="A158" s="161" t="e">
        <f>#REF!</f>
        <v>#REF!</v>
      </c>
      <c r="B158" s="161" t="e">
        <f>#REF!</f>
        <v>#REF!</v>
      </c>
      <c r="C158" s="161" t="e">
        <f>#REF!</f>
        <v>#REF!</v>
      </c>
      <c r="D158" s="161" t="e">
        <f>#REF!</f>
        <v>#REF!</v>
      </c>
      <c r="E158" s="161" t="e">
        <f>#REF!</f>
        <v>#REF!</v>
      </c>
      <c r="F158" s="161" t="e">
        <f>#REF!</f>
        <v>#REF!</v>
      </c>
      <c r="G158" s="161" t="e">
        <f>#REF!</f>
        <v>#REF!</v>
      </c>
      <c r="H158" s="161" t="e">
        <f>#REF!</f>
        <v>#REF!</v>
      </c>
    </row>
    <row r="159" spans="1:8" x14ac:dyDescent="0.3">
      <c r="A159" s="161" t="e">
        <f>#REF!</f>
        <v>#REF!</v>
      </c>
      <c r="B159" s="161" t="e">
        <f>#REF!</f>
        <v>#REF!</v>
      </c>
      <c r="C159" s="161" t="e">
        <f>#REF!</f>
        <v>#REF!</v>
      </c>
      <c r="D159" s="161" t="e">
        <f>#REF!</f>
        <v>#REF!</v>
      </c>
      <c r="E159" s="161" t="e">
        <f>#REF!</f>
        <v>#REF!</v>
      </c>
      <c r="F159" s="161" t="e">
        <f>#REF!</f>
        <v>#REF!</v>
      </c>
      <c r="G159" s="161" t="e">
        <f>#REF!</f>
        <v>#REF!</v>
      </c>
      <c r="H159" s="161" t="e">
        <f>#REF!</f>
        <v>#REF!</v>
      </c>
    </row>
    <row r="160" spans="1:8" x14ac:dyDescent="0.3">
      <c r="A160" s="161" t="e">
        <f>#REF!</f>
        <v>#REF!</v>
      </c>
      <c r="B160" s="161" t="e">
        <f>#REF!</f>
        <v>#REF!</v>
      </c>
      <c r="C160" s="161" t="e">
        <f>#REF!</f>
        <v>#REF!</v>
      </c>
      <c r="D160" s="161" t="e">
        <f>#REF!</f>
        <v>#REF!</v>
      </c>
      <c r="E160" s="161" t="e">
        <f>#REF!</f>
        <v>#REF!</v>
      </c>
      <c r="F160" s="161" t="e">
        <f>#REF!</f>
        <v>#REF!</v>
      </c>
      <c r="G160" s="161" t="e">
        <f>#REF!</f>
        <v>#REF!</v>
      </c>
      <c r="H160" s="161" t="e">
        <f>#REF!</f>
        <v>#REF!</v>
      </c>
    </row>
    <row r="161" spans="1:8" x14ac:dyDescent="0.3">
      <c r="A161" s="161" t="e">
        <f>#REF!</f>
        <v>#REF!</v>
      </c>
      <c r="B161" s="161" t="e">
        <f>#REF!</f>
        <v>#REF!</v>
      </c>
      <c r="C161" s="161" t="e">
        <f>#REF!</f>
        <v>#REF!</v>
      </c>
      <c r="D161" s="161" t="e">
        <f>#REF!</f>
        <v>#REF!</v>
      </c>
      <c r="E161" s="161" t="e">
        <f>#REF!</f>
        <v>#REF!</v>
      </c>
      <c r="F161" s="161" t="e">
        <f>#REF!</f>
        <v>#REF!</v>
      </c>
      <c r="G161" s="161" t="e">
        <f>#REF!</f>
        <v>#REF!</v>
      </c>
      <c r="H161" s="161" t="e">
        <f>#REF!</f>
        <v>#REF!</v>
      </c>
    </row>
    <row r="162" spans="1:8" x14ac:dyDescent="0.3">
      <c r="A162" s="161" t="e">
        <f>#REF!</f>
        <v>#REF!</v>
      </c>
      <c r="B162" s="161" t="e">
        <f>#REF!</f>
        <v>#REF!</v>
      </c>
      <c r="C162" s="161" t="e">
        <f>#REF!</f>
        <v>#REF!</v>
      </c>
      <c r="D162" s="161" t="e">
        <f>#REF!</f>
        <v>#REF!</v>
      </c>
      <c r="E162" s="161" t="e">
        <f>#REF!</f>
        <v>#REF!</v>
      </c>
      <c r="F162" s="161" t="e">
        <f>#REF!</f>
        <v>#REF!</v>
      </c>
      <c r="G162" s="161" t="e">
        <f>#REF!</f>
        <v>#REF!</v>
      </c>
      <c r="H162" s="161" t="e">
        <f>#REF!</f>
        <v>#REF!</v>
      </c>
    </row>
    <row r="163" spans="1:8" x14ac:dyDescent="0.3">
      <c r="A163" s="161" t="e">
        <f>#REF!</f>
        <v>#REF!</v>
      </c>
      <c r="B163" s="161" t="e">
        <f>#REF!</f>
        <v>#REF!</v>
      </c>
      <c r="C163" s="161" t="e">
        <f>#REF!</f>
        <v>#REF!</v>
      </c>
      <c r="D163" s="161" t="e">
        <f>#REF!</f>
        <v>#REF!</v>
      </c>
      <c r="E163" s="161" t="e">
        <f>#REF!</f>
        <v>#REF!</v>
      </c>
      <c r="F163" s="161" t="e">
        <f>#REF!</f>
        <v>#REF!</v>
      </c>
      <c r="G163" s="161" t="e">
        <f>#REF!</f>
        <v>#REF!</v>
      </c>
      <c r="H163" s="161" t="e">
        <f>#REF!</f>
        <v>#REF!</v>
      </c>
    </row>
    <row r="164" spans="1:8" x14ac:dyDescent="0.3">
      <c r="A164" s="161" t="e">
        <f>#REF!</f>
        <v>#REF!</v>
      </c>
      <c r="B164" s="161" t="e">
        <f>#REF!</f>
        <v>#REF!</v>
      </c>
      <c r="C164" s="161" t="e">
        <f>#REF!</f>
        <v>#REF!</v>
      </c>
      <c r="D164" s="161" t="e">
        <f>#REF!</f>
        <v>#REF!</v>
      </c>
      <c r="E164" s="161" t="e">
        <f>#REF!</f>
        <v>#REF!</v>
      </c>
      <c r="F164" s="161" t="e">
        <f>#REF!</f>
        <v>#REF!</v>
      </c>
      <c r="G164" s="161" t="e">
        <f>#REF!</f>
        <v>#REF!</v>
      </c>
      <c r="H164" s="161" t="e">
        <f>#REF!</f>
        <v>#REF!</v>
      </c>
    </row>
    <row r="165" spans="1:8" x14ac:dyDescent="0.3">
      <c r="A165" s="161" t="e">
        <f>#REF!</f>
        <v>#REF!</v>
      </c>
      <c r="B165" s="161" t="e">
        <f>#REF!</f>
        <v>#REF!</v>
      </c>
      <c r="C165" s="161" t="e">
        <f>#REF!</f>
        <v>#REF!</v>
      </c>
      <c r="D165" s="161" t="e">
        <f>#REF!</f>
        <v>#REF!</v>
      </c>
      <c r="E165" s="161" t="e">
        <f>#REF!</f>
        <v>#REF!</v>
      </c>
      <c r="F165" s="161" t="e">
        <f>#REF!</f>
        <v>#REF!</v>
      </c>
      <c r="G165" s="161" t="e">
        <f>#REF!</f>
        <v>#REF!</v>
      </c>
      <c r="H165" s="161" t="e">
        <f>#REF!</f>
        <v>#REF!</v>
      </c>
    </row>
    <row r="166" spans="1:8" x14ac:dyDescent="0.3">
      <c r="A166" s="161" t="e">
        <f>#REF!</f>
        <v>#REF!</v>
      </c>
      <c r="B166" s="161" t="e">
        <f>#REF!</f>
        <v>#REF!</v>
      </c>
      <c r="C166" s="161" t="e">
        <f>#REF!</f>
        <v>#REF!</v>
      </c>
      <c r="D166" s="161" t="e">
        <f>#REF!</f>
        <v>#REF!</v>
      </c>
      <c r="E166" s="161" t="e">
        <f>#REF!</f>
        <v>#REF!</v>
      </c>
      <c r="F166" s="161" t="e">
        <f>#REF!</f>
        <v>#REF!</v>
      </c>
      <c r="G166" s="161" t="e">
        <f>#REF!</f>
        <v>#REF!</v>
      </c>
      <c r="H166" s="161" t="e">
        <f>#REF!</f>
        <v>#REF!</v>
      </c>
    </row>
    <row r="167" spans="1:8" x14ac:dyDescent="0.3">
      <c r="A167" s="161" t="e">
        <f>#REF!</f>
        <v>#REF!</v>
      </c>
      <c r="B167" s="161" t="e">
        <f>#REF!</f>
        <v>#REF!</v>
      </c>
      <c r="C167" s="161" t="e">
        <f>#REF!</f>
        <v>#REF!</v>
      </c>
      <c r="D167" s="161" t="e">
        <f>#REF!</f>
        <v>#REF!</v>
      </c>
      <c r="E167" s="161" t="e">
        <f>#REF!</f>
        <v>#REF!</v>
      </c>
      <c r="F167" s="161" t="e">
        <f>#REF!</f>
        <v>#REF!</v>
      </c>
      <c r="G167" s="161" t="e">
        <f>#REF!</f>
        <v>#REF!</v>
      </c>
      <c r="H167" s="161" t="e">
        <f>#REF!</f>
        <v>#REF!</v>
      </c>
    </row>
    <row r="168" spans="1:8" x14ac:dyDescent="0.3">
      <c r="A168" s="161" t="e">
        <f>#REF!</f>
        <v>#REF!</v>
      </c>
      <c r="B168" s="161" t="e">
        <f>#REF!</f>
        <v>#REF!</v>
      </c>
      <c r="C168" s="161" t="e">
        <f>#REF!</f>
        <v>#REF!</v>
      </c>
      <c r="D168" s="161" t="e">
        <f>#REF!</f>
        <v>#REF!</v>
      </c>
      <c r="E168" s="161" t="e">
        <f>#REF!</f>
        <v>#REF!</v>
      </c>
      <c r="F168" s="161" t="e">
        <f>#REF!</f>
        <v>#REF!</v>
      </c>
      <c r="G168" s="161" t="e">
        <f>#REF!</f>
        <v>#REF!</v>
      </c>
      <c r="H168" s="161" t="e">
        <f>#REF!</f>
        <v>#REF!</v>
      </c>
    </row>
    <row r="169" spans="1:8" x14ac:dyDescent="0.3">
      <c r="A169" s="161" t="e">
        <f>#REF!</f>
        <v>#REF!</v>
      </c>
      <c r="B169" s="161" t="e">
        <f>#REF!</f>
        <v>#REF!</v>
      </c>
      <c r="C169" s="161" t="e">
        <f>#REF!</f>
        <v>#REF!</v>
      </c>
      <c r="D169" s="161" t="e">
        <f>#REF!</f>
        <v>#REF!</v>
      </c>
      <c r="E169" s="161" t="e">
        <f>#REF!</f>
        <v>#REF!</v>
      </c>
      <c r="F169" s="161" t="e">
        <f>#REF!</f>
        <v>#REF!</v>
      </c>
      <c r="G169" s="161" t="e">
        <f>#REF!</f>
        <v>#REF!</v>
      </c>
      <c r="H169" s="161" t="e">
        <f>#REF!</f>
        <v>#REF!</v>
      </c>
    </row>
    <row r="170" spans="1:8" x14ac:dyDescent="0.3">
      <c r="A170" s="161" t="e">
        <f>#REF!</f>
        <v>#REF!</v>
      </c>
      <c r="B170" s="161" t="e">
        <f>#REF!</f>
        <v>#REF!</v>
      </c>
      <c r="C170" s="161" t="e">
        <f>#REF!</f>
        <v>#REF!</v>
      </c>
      <c r="D170" s="161" t="e">
        <f>#REF!</f>
        <v>#REF!</v>
      </c>
      <c r="E170" s="161" t="e">
        <f>#REF!</f>
        <v>#REF!</v>
      </c>
      <c r="F170" s="161" t="e">
        <f>#REF!</f>
        <v>#REF!</v>
      </c>
      <c r="G170" s="161" t="e">
        <f>#REF!</f>
        <v>#REF!</v>
      </c>
      <c r="H170" s="161" t="e">
        <f>#REF!</f>
        <v>#REF!</v>
      </c>
    </row>
    <row r="171" spans="1:8" x14ac:dyDescent="0.3">
      <c r="A171" s="161" t="e">
        <f>#REF!</f>
        <v>#REF!</v>
      </c>
      <c r="B171" s="161" t="e">
        <f>#REF!</f>
        <v>#REF!</v>
      </c>
      <c r="C171" s="161" t="e">
        <f>#REF!</f>
        <v>#REF!</v>
      </c>
      <c r="D171" s="161" t="e">
        <f>#REF!</f>
        <v>#REF!</v>
      </c>
      <c r="E171" s="161" t="e">
        <f>#REF!</f>
        <v>#REF!</v>
      </c>
      <c r="F171" s="161" t="e">
        <f>#REF!</f>
        <v>#REF!</v>
      </c>
      <c r="G171" s="161" t="e">
        <f>#REF!</f>
        <v>#REF!</v>
      </c>
      <c r="H171" s="161" t="e">
        <f>#REF!</f>
        <v>#REF!</v>
      </c>
    </row>
    <row r="172" spans="1:8" x14ac:dyDescent="0.3">
      <c r="A172" s="161" t="e">
        <f>#REF!</f>
        <v>#REF!</v>
      </c>
      <c r="B172" s="161" t="e">
        <f>#REF!</f>
        <v>#REF!</v>
      </c>
      <c r="C172" s="161" t="e">
        <f>#REF!</f>
        <v>#REF!</v>
      </c>
      <c r="D172" s="161" t="e">
        <f>#REF!</f>
        <v>#REF!</v>
      </c>
      <c r="E172" s="161" t="e">
        <f>#REF!</f>
        <v>#REF!</v>
      </c>
      <c r="F172" s="161" t="e">
        <f>#REF!</f>
        <v>#REF!</v>
      </c>
      <c r="G172" s="161" t="e">
        <f>#REF!</f>
        <v>#REF!</v>
      </c>
      <c r="H172" s="161" t="e">
        <f>#REF!</f>
        <v>#REF!</v>
      </c>
    </row>
    <row r="173" spans="1:8" x14ac:dyDescent="0.3">
      <c r="A173" s="161" t="e">
        <f>#REF!</f>
        <v>#REF!</v>
      </c>
      <c r="B173" s="161" t="e">
        <f>#REF!</f>
        <v>#REF!</v>
      </c>
      <c r="C173" s="161" t="e">
        <f>#REF!</f>
        <v>#REF!</v>
      </c>
      <c r="D173" s="161" t="e">
        <f>#REF!</f>
        <v>#REF!</v>
      </c>
      <c r="E173" s="161" t="e">
        <f>#REF!</f>
        <v>#REF!</v>
      </c>
      <c r="F173" s="161" t="e">
        <f>#REF!</f>
        <v>#REF!</v>
      </c>
      <c r="G173" s="161" t="e">
        <f>#REF!</f>
        <v>#REF!</v>
      </c>
      <c r="H173" s="161" t="e">
        <f>#REF!</f>
        <v>#REF!</v>
      </c>
    </row>
    <row r="174" spans="1:8" x14ac:dyDescent="0.3">
      <c r="A174" s="161" t="e">
        <f>#REF!</f>
        <v>#REF!</v>
      </c>
      <c r="B174" s="161" t="e">
        <f>#REF!</f>
        <v>#REF!</v>
      </c>
      <c r="C174" s="161" t="e">
        <f>#REF!</f>
        <v>#REF!</v>
      </c>
      <c r="D174" s="161" t="e">
        <f>#REF!</f>
        <v>#REF!</v>
      </c>
      <c r="E174" s="161" t="e">
        <f>#REF!</f>
        <v>#REF!</v>
      </c>
      <c r="F174" s="161" t="e">
        <f>#REF!</f>
        <v>#REF!</v>
      </c>
      <c r="G174" s="161" t="e">
        <f>#REF!</f>
        <v>#REF!</v>
      </c>
      <c r="H174" s="161" t="e">
        <f>#REF!</f>
        <v>#REF!</v>
      </c>
    </row>
    <row r="175" spans="1:8" x14ac:dyDescent="0.3">
      <c r="A175" s="161" t="e">
        <f>#REF!</f>
        <v>#REF!</v>
      </c>
      <c r="B175" s="161" t="e">
        <f>#REF!</f>
        <v>#REF!</v>
      </c>
      <c r="C175" s="161" t="e">
        <f>#REF!</f>
        <v>#REF!</v>
      </c>
      <c r="D175" s="161" t="e">
        <f>#REF!</f>
        <v>#REF!</v>
      </c>
      <c r="E175" s="161" t="e">
        <f>#REF!</f>
        <v>#REF!</v>
      </c>
      <c r="F175" s="161" t="e">
        <f>#REF!</f>
        <v>#REF!</v>
      </c>
      <c r="G175" s="161" t="e">
        <f>#REF!</f>
        <v>#REF!</v>
      </c>
      <c r="H175" s="161" t="e">
        <f>#REF!</f>
        <v>#REF!</v>
      </c>
    </row>
    <row r="176" spans="1:8" x14ac:dyDescent="0.3">
      <c r="A176" s="161" t="e">
        <f>#REF!</f>
        <v>#REF!</v>
      </c>
      <c r="B176" s="161" t="e">
        <f>#REF!</f>
        <v>#REF!</v>
      </c>
      <c r="C176" s="161" t="e">
        <f>#REF!</f>
        <v>#REF!</v>
      </c>
      <c r="D176" s="161" t="e">
        <f>#REF!</f>
        <v>#REF!</v>
      </c>
      <c r="E176" s="161" t="e">
        <f>#REF!</f>
        <v>#REF!</v>
      </c>
      <c r="F176" s="161" t="e">
        <f>#REF!</f>
        <v>#REF!</v>
      </c>
      <c r="G176" s="161" t="e">
        <f>#REF!</f>
        <v>#REF!</v>
      </c>
      <c r="H176" s="161" t="e">
        <f>#REF!</f>
        <v>#REF!</v>
      </c>
    </row>
    <row r="177" spans="1:8" x14ac:dyDescent="0.3">
      <c r="A177" s="161" t="e">
        <f>#REF!</f>
        <v>#REF!</v>
      </c>
      <c r="B177" s="161" t="e">
        <f>#REF!</f>
        <v>#REF!</v>
      </c>
      <c r="C177" s="161" t="e">
        <f>#REF!</f>
        <v>#REF!</v>
      </c>
      <c r="D177" s="161" t="e">
        <f>#REF!</f>
        <v>#REF!</v>
      </c>
      <c r="E177" s="161" t="e">
        <f>#REF!</f>
        <v>#REF!</v>
      </c>
      <c r="F177" s="161" t="e">
        <f>#REF!</f>
        <v>#REF!</v>
      </c>
      <c r="G177" s="161" t="e">
        <f>#REF!</f>
        <v>#REF!</v>
      </c>
      <c r="H177" s="161" t="e">
        <f>#REF!</f>
        <v>#REF!</v>
      </c>
    </row>
    <row r="178" spans="1:8" x14ac:dyDescent="0.3">
      <c r="A178" s="161" t="e">
        <f>#REF!</f>
        <v>#REF!</v>
      </c>
      <c r="B178" s="161" t="e">
        <f>#REF!</f>
        <v>#REF!</v>
      </c>
      <c r="C178" s="161" t="e">
        <f>#REF!</f>
        <v>#REF!</v>
      </c>
      <c r="D178" s="161" t="e">
        <f>#REF!</f>
        <v>#REF!</v>
      </c>
      <c r="E178" s="161" t="e">
        <f>#REF!</f>
        <v>#REF!</v>
      </c>
      <c r="F178" s="161" t="e">
        <f>#REF!</f>
        <v>#REF!</v>
      </c>
      <c r="G178" s="161" t="e">
        <f>#REF!</f>
        <v>#REF!</v>
      </c>
      <c r="H178" s="161" t="e">
        <f>#REF!</f>
        <v>#REF!</v>
      </c>
    </row>
    <row r="179" spans="1:8" x14ac:dyDescent="0.3">
      <c r="A179" s="161" t="e">
        <f>#REF!</f>
        <v>#REF!</v>
      </c>
      <c r="B179" s="161" t="e">
        <f>#REF!</f>
        <v>#REF!</v>
      </c>
      <c r="C179" s="161" t="e">
        <f>#REF!</f>
        <v>#REF!</v>
      </c>
      <c r="D179" s="161" t="e">
        <f>#REF!</f>
        <v>#REF!</v>
      </c>
      <c r="E179" s="161" t="e">
        <f>#REF!</f>
        <v>#REF!</v>
      </c>
      <c r="F179" s="161" t="e">
        <f>#REF!</f>
        <v>#REF!</v>
      </c>
      <c r="G179" s="161" t="e">
        <f>#REF!</f>
        <v>#REF!</v>
      </c>
      <c r="H179" s="161" t="e">
        <f>#REF!</f>
        <v>#REF!</v>
      </c>
    </row>
    <row r="180" spans="1:8" x14ac:dyDescent="0.3">
      <c r="A180" s="161" t="e">
        <f>#REF!</f>
        <v>#REF!</v>
      </c>
      <c r="B180" s="161" t="e">
        <f>#REF!</f>
        <v>#REF!</v>
      </c>
      <c r="C180" s="161" t="e">
        <f>#REF!</f>
        <v>#REF!</v>
      </c>
      <c r="D180" s="161" t="e">
        <f>#REF!</f>
        <v>#REF!</v>
      </c>
      <c r="E180" s="161" t="e">
        <f>#REF!</f>
        <v>#REF!</v>
      </c>
      <c r="F180" s="161" t="e">
        <f>#REF!</f>
        <v>#REF!</v>
      </c>
      <c r="G180" s="161" t="e">
        <f>#REF!</f>
        <v>#REF!</v>
      </c>
      <c r="H180" s="161" t="e">
        <f>#REF!</f>
        <v>#REF!</v>
      </c>
    </row>
    <row r="181" spans="1:8" x14ac:dyDescent="0.3">
      <c r="A181" s="161" t="e">
        <f>#REF!</f>
        <v>#REF!</v>
      </c>
      <c r="B181" s="161" t="e">
        <f>#REF!</f>
        <v>#REF!</v>
      </c>
      <c r="C181" s="161" t="e">
        <f>#REF!</f>
        <v>#REF!</v>
      </c>
      <c r="D181" s="161" t="e">
        <f>#REF!</f>
        <v>#REF!</v>
      </c>
      <c r="E181" s="161" t="e">
        <f>#REF!</f>
        <v>#REF!</v>
      </c>
      <c r="F181" s="161" t="e">
        <f>#REF!</f>
        <v>#REF!</v>
      </c>
      <c r="G181" s="161" t="e">
        <f>#REF!</f>
        <v>#REF!</v>
      </c>
      <c r="H181" s="161" t="e">
        <f>#REF!</f>
        <v>#REF!</v>
      </c>
    </row>
    <row r="182" spans="1:8" x14ac:dyDescent="0.3">
      <c r="A182" s="161" t="e">
        <f>#REF!</f>
        <v>#REF!</v>
      </c>
      <c r="B182" s="161" t="e">
        <f>#REF!</f>
        <v>#REF!</v>
      </c>
      <c r="C182" s="161" t="e">
        <f>#REF!</f>
        <v>#REF!</v>
      </c>
      <c r="D182" s="161" t="e">
        <f>#REF!</f>
        <v>#REF!</v>
      </c>
      <c r="E182" s="161" t="e">
        <f>#REF!</f>
        <v>#REF!</v>
      </c>
      <c r="F182" s="161" t="e">
        <f>#REF!</f>
        <v>#REF!</v>
      </c>
      <c r="G182" s="161" t="e">
        <f>#REF!</f>
        <v>#REF!</v>
      </c>
      <c r="H182" s="161" t="e">
        <f>#REF!</f>
        <v>#REF!</v>
      </c>
    </row>
    <row r="183" spans="1:8" x14ac:dyDescent="0.3">
      <c r="A183" s="161" t="e">
        <f>#REF!</f>
        <v>#REF!</v>
      </c>
      <c r="B183" s="161" t="e">
        <f>#REF!</f>
        <v>#REF!</v>
      </c>
      <c r="C183" s="161" t="e">
        <f>#REF!</f>
        <v>#REF!</v>
      </c>
      <c r="D183" s="161" t="e">
        <f>#REF!</f>
        <v>#REF!</v>
      </c>
      <c r="E183" s="161" t="e">
        <f>#REF!</f>
        <v>#REF!</v>
      </c>
      <c r="F183" s="161" t="e">
        <f>#REF!</f>
        <v>#REF!</v>
      </c>
      <c r="G183" s="161" t="e">
        <f>#REF!</f>
        <v>#REF!</v>
      </c>
      <c r="H183" s="161" t="e">
        <f>#REF!</f>
        <v>#REF!</v>
      </c>
    </row>
    <row r="184" spans="1:8" x14ac:dyDescent="0.3">
      <c r="A184" s="161" t="e">
        <f>#REF!</f>
        <v>#REF!</v>
      </c>
      <c r="B184" s="161" t="e">
        <f>#REF!</f>
        <v>#REF!</v>
      </c>
      <c r="C184" s="161" t="e">
        <f>#REF!</f>
        <v>#REF!</v>
      </c>
      <c r="D184" s="161" t="e">
        <f>#REF!</f>
        <v>#REF!</v>
      </c>
      <c r="E184" s="161" t="e">
        <f>#REF!</f>
        <v>#REF!</v>
      </c>
      <c r="F184" s="161" t="e">
        <f>#REF!</f>
        <v>#REF!</v>
      </c>
      <c r="G184" s="161" t="e">
        <f>#REF!</f>
        <v>#REF!</v>
      </c>
      <c r="H184" s="161" t="e">
        <f>#REF!</f>
        <v>#REF!</v>
      </c>
    </row>
    <row r="185" spans="1:8" x14ac:dyDescent="0.3">
      <c r="A185" s="161" t="e">
        <f>#REF!</f>
        <v>#REF!</v>
      </c>
      <c r="B185" s="161" t="e">
        <f>#REF!</f>
        <v>#REF!</v>
      </c>
      <c r="C185" s="161" t="e">
        <f>#REF!</f>
        <v>#REF!</v>
      </c>
      <c r="D185" s="161" t="e">
        <f>#REF!</f>
        <v>#REF!</v>
      </c>
      <c r="E185" s="161" t="e">
        <f>#REF!</f>
        <v>#REF!</v>
      </c>
      <c r="F185" s="161" t="e">
        <f>#REF!</f>
        <v>#REF!</v>
      </c>
      <c r="G185" s="161" t="e">
        <f>#REF!</f>
        <v>#REF!</v>
      </c>
      <c r="H185" s="161" t="e">
        <f>#REF!</f>
        <v>#REF!</v>
      </c>
    </row>
    <row r="186" spans="1:8" x14ac:dyDescent="0.3">
      <c r="A186" s="161" t="e">
        <f>#REF!</f>
        <v>#REF!</v>
      </c>
      <c r="B186" s="161" t="e">
        <f>#REF!</f>
        <v>#REF!</v>
      </c>
      <c r="C186" s="161" t="e">
        <f>#REF!</f>
        <v>#REF!</v>
      </c>
      <c r="D186" s="161" t="e">
        <f>#REF!</f>
        <v>#REF!</v>
      </c>
      <c r="E186" s="161" t="e">
        <f>#REF!</f>
        <v>#REF!</v>
      </c>
      <c r="F186" s="161" t="e">
        <f>#REF!</f>
        <v>#REF!</v>
      </c>
      <c r="G186" s="161" t="e">
        <f>#REF!</f>
        <v>#REF!</v>
      </c>
      <c r="H186" s="161" t="e">
        <f>#REF!</f>
        <v>#REF!</v>
      </c>
    </row>
    <row r="187" spans="1:8" x14ac:dyDescent="0.3">
      <c r="A187" s="161" t="e">
        <f>#REF!</f>
        <v>#REF!</v>
      </c>
      <c r="B187" s="161" t="e">
        <f>#REF!</f>
        <v>#REF!</v>
      </c>
      <c r="C187" s="161" t="e">
        <f>#REF!</f>
        <v>#REF!</v>
      </c>
      <c r="D187" s="161" t="e">
        <f>#REF!</f>
        <v>#REF!</v>
      </c>
      <c r="E187" s="161" t="e">
        <f>#REF!</f>
        <v>#REF!</v>
      </c>
      <c r="F187" s="161" t="e">
        <f>#REF!</f>
        <v>#REF!</v>
      </c>
      <c r="G187" s="161" t="e">
        <f>#REF!</f>
        <v>#REF!</v>
      </c>
      <c r="H187" s="161" t="e">
        <f>#REF!</f>
        <v>#REF!</v>
      </c>
    </row>
    <row r="188" spans="1:8" x14ac:dyDescent="0.3">
      <c r="A188" s="161" t="e">
        <f>#REF!</f>
        <v>#REF!</v>
      </c>
      <c r="B188" s="161" t="e">
        <f>#REF!</f>
        <v>#REF!</v>
      </c>
      <c r="C188" s="161" t="e">
        <f>#REF!</f>
        <v>#REF!</v>
      </c>
      <c r="D188" s="161" t="e">
        <f>#REF!</f>
        <v>#REF!</v>
      </c>
      <c r="E188" s="161" t="e">
        <f>#REF!</f>
        <v>#REF!</v>
      </c>
      <c r="F188" s="161" t="e">
        <f>#REF!</f>
        <v>#REF!</v>
      </c>
      <c r="G188" s="161" t="e">
        <f>#REF!</f>
        <v>#REF!</v>
      </c>
      <c r="H188" s="161" t="e">
        <f>#REF!</f>
        <v>#REF!</v>
      </c>
    </row>
    <row r="189" spans="1:8" x14ac:dyDescent="0.3">
      <c r="A189" s="161" t="e">
        <f>#REF!</f>
        <v>#REF!</v>
      </c>
      <c r="B189" s="161" t="e">
        <f>#REF!</f>
        <v>#REF!</v>
      </c>
      <c r="C189" s="161" t="e">
        <f>#REF!</f>
        <v>#REF!</v>
      </c>
      <c r="D189" s="161" t="e">
        <f>#REF!</f>
        <v>#REF!</v>
      </c>
      <c r="E189" s="161" t="e">
        <f>#REF!</f>
        <v>#REF!</v>
      </c>
      <c r="F189" s="161" t="e">
        <f>#REF!</f>
        <v>#REF!</v>
      </c>
      <c r="G189" s="161" t="e">
        <f>#REF!</f>
        <v>#REF!</v>
      </c>
      <c r="H189" s="161" t="e">
        <f>#REF!</f>
        <v>#REF!</v>
      </c>
    </row>
    <row r="190" spans="1:8" x14ac:dyDescent="0.3">
      <c r="A190" s="161" t="e">
        <f>#REF!</f>
        <v>#REF!</v>
      </c>
      <c r="B190" s="161" t="e">
        <f>#REF!</f>
        <v>#REF!</v>
      </c>
      <c r="C190" s="161" t="e">
        <f>#REF!</f>
        <v>#REF!</v>
      </c>
      <c r="D190" s="161" t="e">
        <f>#REF!</f>
        <v>#REF!</v>
      </c>
      <c r="E190" s="161" t="e">
        <f>#REF!</f>
        <v>#REF!</v>
      </c>
      <c r="F190" s="161" t="e">
        <f>#REF!</f>
        <v>#REF!</v>
      </c>
      <c r="G190" s="161" t="e">
        <f>#REF!</f>
        <v>#REF!</v>
      </c>
      <c r="H190" s="161" t="e">
        <f>#REF!</f>
        <v>#REF!</v>
      </c>
    </row>
    <row r="191" spans="1:8" x14ac:dyDescent="0.3">
      <c r="A191" s="161" t="e">
        <f>#REF!</f>
        <v>#REF!</v>
      </c>
      <c r="B191" s="161" t="e">
        <f>#REF!</f>
        <v>#REF!</v>
      </c>
      <c r="C191" s="161" t="e">
        <f>#REF!</f>
        <v>#REF!</v>
      </c>
      <c r="D191" s="161" t="e">
        <f>#REF!</f>
        <v>#REF!</v>
      </c>
      <c r="E191" s="161" t="e">
        <f>#REF!</f>
        <v>#REF!</v>
      </c>
      <c r="F191" s="161" t="e">
        <f>#REF!</f>
        <v>#REF!</v>
      </c>
      <c r="G191" s="161" t="e">
        <f>#REF!</f>
        <v>#REF!</v>
      </c>
      <c r="H191" s="161" t="e">
        <f>#REF!</f>
        <v>#REF!</v>
      </c>
    </row>
    <row r="192" spans="1:8" x14ac:dyDescent="0.3">
      <c r="A192" s="161" t="e">
        <f>#REF!</f>
        <v>#REF!</v>
      </c>
      <c r="B192" s="161" t="e">
        <f>#REF!</f>
        <v>#REF!</v>
      </c>
      <c r="C192" s="161" t="e">
        <f>#REF!</f>
        <v>#REF!</v>
      </c>
      <c r="D192" s="161" t="e">
        <f>#REF!</f>
        <v>#REF!</v>
      </c>
      <c r="E192" s="161" t="e">
        <f>#REF!</f>
        <v>#REF!</v>
      </c>
      <c r="F192" s="161" t="e">
        <f>#REF!</f>
        <v>#REF!</v>
      </c>
      <c r="G192" s="161" t="e">
        <f>#REF!</f>
        <v>#REF!</v>
      </c>
      <c r="H192" s="161" t="e">
        <f>#REF!</f>
        <v>#REF!</v>
      </c>
    </row>
    <row r="193" spans="1:8" x14ac:dyDescent="0.3">
      <c r="A193" s="161" t="e">
        <f>#REF!</f>
        <v>#REF!</v>
      </c>
      <c r="B193" s="161" t="e">
        <f>#REF!</f>
        <v>#REF!</v>
      </c>
      <c r="C193" s="161" t="e">
        <f>#REF!</f>
        <v>#REF!</v>
      </c>
      <c r="D193" s="161" t="e">
        <f>#REF!</f>
        <v>#REF!</v>
      </c>
      <c r="E193" s="161" t="e">
        <f>#REF!</f>
        <v>#REF!</v>
      </c>
      <c r="F193" s="161" t="e">
        <f>#REF!</f>
        <v>#REF!</v>
      </c>
      <c r="G193" s="161" t="e">
        <f>#REF!</f>
        <v>#REF!</v>
      </c>
      <c r="H193" s="161" t="e">
        <f>#REF!</f>
        <v>#REF!</v>
      </c>
    </row>
    <row r="194" spans="1:8" x14ac:dyDescent="0.3">
      <c r="A194" s="161" t="e">
        <f>#REF!</f>
        <v>#REF!</v>
      </c>
      <c r="B194" s="161" t="e">
        <f>#REF!</f>
        <v>#REF!</v>
      </c>
      <c r="C194" s="161" t="e">
        <f>#REF!</f>
        <v>#REF!</v>
      </c>
      <c r="D194" s="161" t="e">
        <f>#REF!</f>
        <v>#REF!</v>
      </c>
      <c r="E194" s="161" t="e">
        <f>#REF!</f>
        <v>#REF!</v>
      </c>
      <c r="F194" s="161" t="e">
        <f>#REF!</f>
        <v>#REF!</v>
      </c>
      <c r="G194" s="161" t="e">
        <f>#REF!</f>
        <v>#REF!</v>
      </c>
      <c r="H194" s="161" t="e">
        <f>#REF!</f>
        <v>#REF!</v>
      </c>
    </row>
    <row r="195" spans="1:8" x14ac:dyDescent="0.3">
      <c r="A195" s="161" t="e">
        <f>#REF!</f>
        <v>#REF!</v>
      </c>
      <c r="B195" s="161" t="e">
        <f>#REF!</f>
        <v>#REF!</v>
      </c>
      <c r="C195" s="161" t="e">
        <f>#REF!</f>
        <v>#REF!</v>
      </c>
      <c r="D195" s="161" t="e">
        <f>#REF!</f>
        <v>#REF!</v>
      </c>
      <c r="E195" s="161" t="e">
        <f>#REF!</f>
        <v>#REF!</v>
      </c>
      <c r="F195" s="161" t="e">
        <f>#REF!</f>
        <v>#REF!</v>
      </c>
      <c r="G195" s="161" t="e">
        <f>#REF!</f>
        <v>#REF!</v>
      </c>
      <c r="H195" s="161" t="e">
        <f>#REF!</f>
        <v>#REF!</v>
      </c>
    </row>
    <row r="196" spans="1:8" x14ac:dyDescent="0.3">
      <c r="A196" s="161" t="e">
        <f>#REF!</f>
        <v>#REF!</v>
      </c>
      <c r="B196" s="161" t="e">
        <f>#REF!</f>
        <v>#REF!</v>
      </c>
      <c r="C196" s="161" t="e">
        <f>#REF!</f>
        <v>#REF!</v>
      </c>
      <c r="D196" s="161" t="e">
        <f>#REF!</f>
        <v>#REF!</v>
      </c>
      <c r="E196" s="161" t="e">
        <f>#REF!</f>
        <v>#REF!</v>
      </c>
      <c r="F196" s="161" t="e">
        <f>#REF!</f>
        <v>#REF!</v>
      </c>
      <c r="G196" s="161" t="e">
        <f>#REF!</f>
        <v>#REF!</v>
      </c>
      <c r="H196" s="161" t="e">
        <f>#REF!</f>
        <v>#REF!</v>
      </c>
    </row>
    <row r="197" spans="1:8" x14ac:dyDescent="0.3">
      <c r="A197" s="161" t="e">
        <f>#REF!</f>
        <v>#REF!</v>
      </c>
      <c r="B197" s="161" t="e">
        <f>#REF!</f>
        <v>#REF!</v>
      </c>
      <c r="C197" s="161" t="e">
        <f>#REF!</f>
        <v>#REF!</v>
      </c>
      <c r="D197" s="161" t="e">
        <f>#REF!</f>
        <v>#REF!</v>
      </c>
      <c r="E197" s="161" t="e">
        <f>#REF!</f>
        <v>#REF!</v>
      </c>
      <c r="F197" s="161" t="e">
        <f>#REF!</f>
        <v>#REF!</v>
      </c>
      <c r="G197" s="161" t="e">
        <f>#REF!</f>
        <v>#REF!</v>
      </c>
      <c r="H197" s="161" t="e">
        <f>#REF!</f>
        <v>#REF!</v>
      </c>
    </row>
    <row r="198" spans="1:8" x14ac:dyDescent="0.3">
      <c r="A198" s="161" t="e">
        <f>#REF!</f>
        <v>#REF!</v>
      </c>
      <c r="B198" s="161" t="e">
        <f>#REF!</f>
        <v>#REF!</v>
      </c>
      <c r="C198" s="161" t="e">
        <f>#REF!</f>
        <v>#REF!</v>
      </c>
      <c r="D198" s="161" t="e">
        <f>#REF!</f>
        <v>#REF!</v>
      </c>
      <c r="E198" s="161" t="e">
        <f>#REF!</f>
        <v>#REF!</v>
      </c>
      <c r="F198" s="161" t="e">
        <f>#REF!</f>
        <v>#REF!</v>
      </c>
      <c r="G198" s="161" t="e">
        <f>#REF!</f>
        <v>#REF!</v>
      </c>
      <c r="H198" s="161" t="e">
        <f>#REF!</f>
        <v>#REF!</v>
      </c>
    </row>
    <row r="199" spans="1:8" x14ac:dyDescent="0.3">
      <c r="A199" s="161" t="e">
        <f>#REF!</f>
        <v>#REF!</v>
      </c>
      <c r="B199" s="161" t="e">
        <f>#REF!</f>
        <v>#REF!</v>
      </c>
      <c r="C199" s="161" t="e">
        <f>#REF!</f>
        <v>#REF!</v>
      </c>
      <c r="D199" s="161" t="e">
        <f>#REF!</f>
        <v>#REF!</v>
      </c>
      <c r="E199" s="161" t="e">
        <f>#REF!</f>
        <v>#REF!</v>
      </c>
      <c r="F199" s="161" t="e">
        <f>#REF!</f>
        <v>#REF!</v>
      </c>
      <c r="G199" s="161" t="e">
        <f>#REF!</f>
        <v>#REF!</v>
      </c>
      <c r="H199" s="161" t="e">
        <f>#REF!</f>
        <v>#REF!</v>
      </c>
    </row>
    <row r="200" spans="1:8" x14ac:dyDescent="0.3">
      <c r="A200" s="161" t="e">
        <f>#REF!</f>
        <v>#REF!</v>
      </c>
      <c r="B200" s="161" t="e">
        <f>#REF!</f>
        <v>#REF!</v>
      </c>
      <c r="C200" s="161" t="e">
        <f>#REF!</f>
        <v>#REF!</v>
      </c>
      <c r="D200" s="161" t="e">
        <f>#REF!</f>
        <v>#REF!</v>
      </c>
      <c r="E200" s="161" t="e">
        <f>#REF!</f>
        <v>#REF!</v>
      </c>
      <c r="F200" s="161" t="e">
        <f>#REF!</f>
        <v>#REF!</v>
      </c>
      <c r="G200" s="161" t="e">
        <f>#REF!</f>
        <v>#REF!</v>
      </c>
      <c r="H200" s="161" t="e">
        <f>#REF!</f>
        <v>#REF!</v>
      </c>
    </row>
    <row r="201" spans="1:8" x14ac:dyDescent="0.3">
      <c r="A201" s="161" t="e">
        <f>#REF!</f>
        <v>#REF!</v>
      </c>
      <c r="B201" s="161" t="e">
        <f>#REF!</f>
        <v>#REF!</v>
      </c>
      <c r="C201" s="161" t="e">
        <f>#REF!</f>
        <v>#REF!</v>
      </c>
      <c r="D201" s="161" t="e">
        <f>#REF!</f>
        <v>#REF!</v>
      </c>
      <c r="E201" s="161" t="e">
        <f>#REF!</f>
        <v>#REF!</v>
      </c>
      <c r="F201" s="161" t="e">
        <f>#REF!</f>
        <v>#REF!</v>
      </c>
      <c r="G201" s="161" t="e">
        <f>#REF!</f>
        <v>#REF!</v>
      </c>
      <c r="H201" s="161" t="e">
        <f>#REF!</f>
        <v>#REF!</v>
      </c>
    </row>
    <row r="202" spans="1:8" x14ac:dyDescent="0.3">
      <c r="A202" s="161" t="e">
        <f>#REF!</f>
        <v>#REF!</v>
      </c>
      <c r="B202" s="161" t="e">
        <f>#REF!</f>
        <v>#REF!</v>
      </c>
      <c r="C202" s="161" t="e">
        <f>#REF!</f>
        <v>#REF!</v>
      </c>
      <c r="D202" s="161" t="e">
        <f>#REF!</f>
        <v>#REF!</v>
      </c>
      <c r="E202" s="161" t="e">
        <f>#REF!</f>
        <v>#REF!</v>
      </c>
      <c r="F202" s="161" t="e">
        <f>#REF!</f>
        <v>#REF!</v>
      </c>
      <c r="G202" s="161" t="e">
        <f>#REF!</f>
        <v>#REF!</v>
      </c>
      <c r="H202" s="161" t="e">
        <f>#REF!</f>
        <v>#REF!</v>
      </c>
    </row>
    <row r="203" spans="1:8" x14ac:dyDescent="0.3">
      <c r="A203" s="161" t="e">
        <f>#REF!</f>
        <v>#REF!</v>
      </c>
      <c r="B203" s="161" t="e">
        <f>#REF!</f>
        <v>#REF!</v>
      </c>
      <c r="C203" s="161" t="e">
        <f>#REF!</f>
        <v>#REF!</v>
      </c>
      <c r="D203" s="161" t="e">
        <f>#REF!</f>
        <v>#REF!</v>
      </c>
      <c r="E203" s="161" t="e">
        <f>#REF!</f>
        <v>#REF!</v>
      </c>
      <c r="F203" s="161" t="e">
        <f>#REF!</f>
        <v>#REF!</v>
      </c>
      <c r="G203" s="161" t="e">
        <f>#REF!</f>
        <v>#REF!</v>
      </c>
      <c r="H203" s="161" t="e">
        <f>#REF!</f>
        <v>#REF!</v>
      </c>
    </row>
    <row r="204" spans="1:8" x14ac:dyDescent="0.3">
      <c r="A204" s="161" t="e">
        <f>#REF!</f>
        <v>#REF!</v>
      </c>
      <c r="B204" s="161" t="e">
        <f>#REF!</f>
        <v>#REF!</v>
      </c>
      <c r="C204" s="161" t="e">
        <f>#REF!</f>
        <v>#REF!</v>
      </c>
      <c r="D204" s="161" t="e">
        <f>#REF!</f>
        <v>#REF!</v>
      </c>
      <c r="E204" s="161" t="e">
        <f>#REF!</f>
        <v>#REF!</v>
      </c>
      <c r="F204" s="161" t="e">
        <f>#REF!</f>
        <v>#REF!</v>
      </c>
      <c r="G204" s="161" t="e">
        <f>#REF!</f>
        <v>#REF!</v>
      </c>
      <c r="H204" s="161" t="e">
        <f>#REF!</f>
        <v>#REF!</v>
      </c>
    </row>
    <row r="205" spans="1:8" x14ac:dyDescent="0.3">
      <c r="A205" s="161" t="e">
        <f>#REF!</f>
        <v>#REF!</v>
      </c>
      <c r="B205" s="161" t="e">
        <f>#REF!</f>
        <v>#REF!</v>
      </c>
      <c r="C205" s="161" t="e">
        <f>#REF!</f>
        <v>#REF!</v>
      </c>
      <c r="D205" s="161" t="e">
        <f>#REF!</f>
        <v>#REF!</v>
      </c>
      <c r="E205" s="161" t="e">
        <f>#REF!</f>
        <v>#REF!</v>
      </c>
      <c r="F205" s="161" t="e">
        <f>#REF!</f>
        <v>#REF!</v>
      </c>
      <c r="G205" s="161" t="e">
        <f>#REF!</f>
        <v>#REF!</v>
      </c>
      <c r="H205" s="161" t="e">
        <f>#REF!</f>
        <v>#REF!</v>
      </c>
    </row>
    <row r="206" spans="1:8" x14ac:dyDescent="0.3">
      <c r="A206" s="161" t="e">
        <f>#REF!</f>
        <v>#REF!</v>
      </c>
      <c r="B206" s="161" t="e">
        <f>#REF!</f>
        <v>#REF!</v>
      </c>
      <c r="C206" s="161" t="e">
        <f>#REF!</f>
        <v>#REF!</v>
      </c>
      <c r="D206" s="161" t="e">
        <f>#REF!</f>
        <v>#REF!</v>
      </c>
      <c r="E206" s="161" t="e">
        <f>#REF!</f>
        <v>#REF!</v>
      </c>
      <c r="F206" s="161" t="e">
        <f>#REF!</f>
        <v>#REF!</v>
      </c>
      <c r="G206" s="161" t="e">
        <f>#REF!</f>
        <v>#REF!</v>
      </c>
      <c r="H206" s="161" t="e">
        <f>#REF!</f>
        <v>#REF!</v>
      </c>
    </row>
    <row r="207" spans="1:8" x14ac:dyDescent="0.3">
      <c r="A207" s="161" t="e">
        <f>#REF!</f>
        <v>#REF!</v>
      </c>
      <c r="B207" s="161" t="e">
        <f>#REF!</f>
        <v>#REF!</v>
      </c>
      <c r="C207" s="161" t="e">
        <f>#REF!</f>
        <v>#REF!</v>
      </c>
      <c r="D207" s="161" t="e">
        <f>#REF!</f>
        <v>#REF!</v>
      </c>
      <c r="E207" s="161" t="e">
        <f>#REF!</f>
        <v>#REF!</v>
      </c>
      <c r="F207" s="161" t="e">
        <f>#REF!</f>
        <v>#REF!</v>
      </c>
      <c r="G207" s="161" t="e">
        <f>#REF!</f>
        <v>#REF!</v>
      </c>
      <c r="H207" s="161" t="e">
        <f>#REF!</f>
        <v>#REF!</v>
      </c>
    </row>
    <row r="208" spans="1:8" x14ac:dyDescent="0.3">
      <c r="A208" s="161" t="e">
        <f>#REF!</f>
        <v>#REF!</v>
      </c>
      <c r="B208" s="161" t="e">
        <f>#REF!</f>
        <v>#REF!</v>
      </c>
      <c r="C208" s="161" t="e">
        <f>#REF!</f>
        <v>#REF!</v>
      </c>
      <c r="D208" s="161" t="e">
        <f>#REF!</f>
        <v>#REF!</v>
      </c>
      <c r="E208" s="161" t="e">
        <f>#REF!</f>
        <v>#REF!</v>
      </c>
      <c r="F208" s="161" t="e">
        <f>#REF!</f>
        <v>#REF!</v>
      </c>
      <c r="G208" s="161" t="e">
        <f>#REF!</f>
        <v>#REF!</v>
      </c>
      <c r="H208" s="161" t="e">
        <f>#REF!</f>
        <v>#REF!</v>
      </c>
    </row>
    <row r="209" spans="1:8" x14ac:dyDescent="0.3">
      <c r="A209" s="161" t="e">
        <f>#REF!</f>
        <v>#REF!</v>
      </c>
      <c r="B209" s="161" t="e">
        <f>#REF!</f>
        <v>#REF!</v>
      </c>
      <c r="C209" s="161" t="e">
        <f>#REF!</f>
        <v>#REF!</v>
      </c>
      <c r="D209" s="161" t="e">
        <f>#REF!</f>
        <v>#REF!</v>
      </c>
      <c r="E209" s="161" t="e">
        <f>#REF!</f>
        <v>#REF!</v>
      </c>
      <c r="F209" s="161" t="e">
        <f>#REF!</f>
        <v>#REF!</v>
      </c>
      <c r="G209" s="161" t="e">
        <f>#REF!</f>
        <v>#REF!</v>
      </c>
      <c r="H209" s="161" t="e">
        <f>#REF!</f>
        <v>#REF!</v>
      </c>
    </row>
    <row r="210" spans="1:8" x14ac:dyDescent="0.3">
      <c r="A210" s="161" t="e">
        <f>#REF!</f>
        <v>#REF!</v>
      </c>
      <c r="B210" s="161" t="e">
        <f>#REF!</f>
        <v>#REF!</v>
      </c>
      <c r="C210" s="161" t="e">
        <f>#REF!</f>
        <v>#REF!</v>
      </c>
      <c r="D210" s="161" t="e">
        <f>#REF!</f>
        <v>#REF!</v>
      </c>
      <c r="E210" s="161" t="e">
        <f>#REF!</f>
        <v>#REF!</v>
      </c>
      <c r="F210" s="161" t="e">
        <f>#REF!</f>
        <v>#REF!</v>
      </c>
      <c r="G210" s="161" t="e">
        <f>#REF!</f>
        <v>#REF!</v>
      </c>
      <c r="H210" s="161" t="e">
        <f>#REF!</f>
        <v>#REF!</v>
      </c>
    </row>
    <row r="211" spans="1:8" x14ac:dyDescent="0.3">
      <c r="A211" s="161" t="e">
        <f>#REF!</f>
        <v>#REF!</v>
      </c>
      <c r="B211" s="161" t="e">
        <f>#REF!</f>
        <v>#REF!</v>
      </c>
      <c r="C211" s="161" t="e">
        <f>#REF!</f>
        <v>#REF!</v>
      </c>
      <c r="D211" s="161" t="e">
        <f>#REF!</f>
        <v>#REF!</v>
      </c>
      <c r="E211" s="161" t="e">
        <f>#REF!</f>
        <v>#REF!</v>
      </c>
      <c r="F211" s="161" t="e">
        <f>#REF!</f>
        <v>#REF!</v>
      </c>
      <c r="G211" s="161" t="e">
        <f>#REF!</f>
        <v>#REF!</v>
      </c>
      <c r="H211" s="161" t="e">
        <f>#REF!</f>
        <v>#REF!</v>
      </c>
    </row>
    <row r="212" spans="1:8" x14ac:dyDescent="0.3">
      <c r="A212" s="161" t="e">
        <f>#REF!</f>
        <v>#REF!</v>
      </c>
      <c r="B212" s="161" t="e">
        <f>#REF!</f>
        <v>#REF!</v>
      </c>
      <c r="C212" s="161" t="e">
        <f>#REF!</f>
        <v>#REF!</v>
      </c>
      <c r="D212" s="161" t="e">
        <f>#REF!</f>
        <v>#REF!</v>
      </c>
      <c r="E212" s="161" t="e">
        <f>#REF!</f>
        <v>#REF!</v>
      </c>
      <c r="F212" s="161" t="e">
        <f>#REF!</f>
        <v>#REF!</v>
      </c>
      <c r="G212" s="161" t="e">
        <f>#REF!</f>
        <v>#REF!</v>
      </c>
      <c r="H212" s="161" t="e">
        <f>#REF!</f>
        <v>#REF!</v>
      </c>
    </row>
    <row r="213" spans="1:8" x14ac:dyDescent="0.3">
      <c r="A213" s="161" t="e">
        <f>#REF!</f>
        <v>#REF!</v>
      </c>
      <c r="B213" s="161" t="e">
        <f>#REF!</f>
        <v>#REF!</v>
      </c>
      <c r="C213" s="161" t="e">
        <f>#REF!</f>
        <v>#REF!</v>
      </c>
      <c r="D213" s="161" t="e">
        <f>#REF!</f>
        <v>#REF!</v>
      </c>
      <c r="E213" s="161" t="e">
        <f>#REF!</f>
        <v>#REF!</v>
      </c>
      <c r="F213" s="161" t="e">
        <f>#REF!</f>
        <v>#REF!</v>
      </c>
      <c r="G213" s="161" t="e">
        <f>#REF!</f>
        <v>#REF!</v>
      </c>
      <c r="H213" s="161" t="e">
        <f>#REF!</f>
        <v>#REF!</v>
      </c>
    </row>
    <row r="214" spans="1:8" x14ac:dyDescent="0.3">
      <c r="A214" s="161" t="e">
        <f>#REF!</f>
        <v>#REF!</v>
      </c>
      <c r="B214" s="161" t="e">
        <f>#REF!</f>
        <v>#REF!</v>
      </c>
      <c r="C214" s="161" t="e">
        <f>#REF!</f>
        <v>#REF!</v>
      </c>
      <c r="D214" s="161" t="e">
        <f>#REF!</f>
        <v>#REF!</v>
      </c>
      <c r="E214" s="161" t="e">
        <f>#REF!</f>
        <v>#REF!</v>
      </c>
      <c r="F214" s="161" t="e">
        <f>#REF!</f>
        <v>#REF!</v>
      </c>
      <c r="G214" s="161" t="e">
        <f>#REF!</f>
        <v>#REF!</v>
      </c>
      <c r="H214" s="161" t="e">
        <f>#REF!</f>
        <v>#REF!</v>
      </c>
    </row>
    <row r="215" spans="1:8" x14ac:dyDescent="0.3">
      <c r="A215" s="161" t="e">
        <f>#REF!</f>
        <v>#REF!</v>
      </c>
      <c r="B215" s="161" t="e">
        <f>#REF!</f>
        <v>#REF!</v>
      </c>
      <c r="C215" s="161" t="e">
        <f>#REF!</f>
        <v>#REF!</v>
      </c>
      <c r="D215" s="161" t="e">
        <f>#REF!</f>
        <v>#REF!</v>
      </c>
      <c r="E215" s="161" t="e">
        <f>#REF!</f>
        <v>#REF!</v>
      </c>
      <c r="F215" s="161" t="e">
        <f>#REF!</f>
        <v>#REF!</v>
      </c>
      <c r="G215" s="161" t="e">
        <f>#REF!</f>
        <v>#REF!</v>
      </c>
      <c r="H215" s="161" t="e">
        <f>#REF!</f>
        <v>#REF!</v>
      </c>
    </row>
    <row r="216" spans="1:8" x14ac:dyDescent="0.3">
      <c r="A216" s="161" t="e">
        <f>#REF!</f>
        <v>#REF!</v>
      </c>
      <c r="B216" s="161" t="e">
        <f>#REF!</f>
        <v>#REF!</v>
      </c>
      <c r="C216" s="161" t="e">
        <f>#REF!</f>
        <v>#REF!</v>
      </c>
      <c r="D216" s="161" t="e">
        <f>#REF!</f>
        <v>#REF!</v>
      </c>
      <c r="E216" s="161" t="e">
        <f>#REF!</f>
        <v>#REF!</v>
      </c>
      <c r="F216" s="161" t="e">
        <f>#REF!</f>
        <v>#REF!</v>
      </c>
      <c r="G216" s="161" t="e">
        <f>#REF!</f>
        <v>#REF!</v>
      </c>
      <c r="H216" s="161" t="e">
        <f>#REF!</f>
        <v>#REF!</v>
      </c>
    </row>
    <row r="217" spans="1:8" x14ac:dyDescent="0.3">
      <c r="A217" s="161" t="e">
        <f>#REF!</f>
        <v>#REF!</v>
      </c>
      <c r="B217" s="161" t="e">
        <f>#REF!</f>
        <v>#REF!</v>
      </c>
      <c r="C217" s="161" t="e">
        <f>#REF!</f>
        <v>#REF!</v>
      </c>
      <c r="D217" s="161" t="e">
        <f>#REF!</f>
        <v>#REF!</v>
      </c>
      <c r="E217" s="161" t="e">
        <f>#REF!</f>
        <v>#REF!</v>
      </c>
      <c r="F217" s="161" t="e">
        <f>#REF!</f>
        <v>#REF!</v>
      </c>
      <c r="G217" s="161" t="e">
        <f>#REF!</f>
        <v>#REF!</v>
      </c>
      <c r="H217" s="161" t="e">
        <f>#REF!</f>
        <v>#REF!</v>
      </c>
    </row>
    <row r="218" spans="1:8" x14ac:dyDescent="0.3">
      <c r="A218" s="161" t="e">
        <f>#REF!</f>
        <v>#REF!</v>
      </c>
      <c r="B218" s="161" t="e">
        <f>#REF!</f>
        <v>#REF!</v>
      </c>
      <c r="C218" s="161" t="e">
        <f>#REF!</f>
        <v>#REF!</v>
      </c>
      <c r="D218" s="161" t="e">
        <f>#REF!</f>
        <v>#REF!</v>
      </c>
      <c r="E218" s="161" t="e">
        <f>#REF!</f>
        <v>#REF!</v>
      </c>
      <c r="F218" s="161" t="e">
        <f>#REF!</f>
        <v>#REF!</v>
      </c>
      <c r="G218" s="161" t="e">
        <f>#REF!</f>
        <v>#REF!</v>
      </c>
      <c r="H218" s="161" t="e">
        <f>#REF!</f>
        <v>#REF!</v>
      </c>
    </row>
    <row r="219" spans="1:8" x14ac:dyDescent="0.3">
      <c r="A219" s="161" t="e">
        <f>#REF!</f>
        <v>#REF!</v>
      </c>
      <c r="B219" s="161" t="e">
        <f>#REF!</f>
        <v>#REF!</v>
      </c>
      <c r="C219" s="161" t="e">
        <f>#REF!</f>
        <v>#REF!</v>
      </c>
      <c r="D219" s="161" t="e">
        <f>#REF!</f>
        <v>#REF!</v>
      </c>
      <c r="E219" s="161" t="e">
        <f>#REF!</f>
        <v>#REF!</v>
      </c>
      <c r="F219" s="161" t="e">
        <f>#REF!</f>
        <v>#REF!</v>
      </c>
      <c r="G219" s="161" t="e">
        <f>#REF!</f>
        <v>#REF!</v>
      </c>
      <c r="H219" s="161" t="e">
        <f>#REF!</f>
        <v>#REF!</v>
      </c>
    </row>
    <row r="220" spans="1:8" x14ac:dyDescent="0.3">
      <c r="A220" s="161" t="e">
        <f>#REF!</f>
        <v>#REF!</v>
      </c>
      <c r="B220" s="161" t="e">
        <f>#REF!</f>
        <v>#REF!</v>
      </c>
      <c r="C220" s="161" t="e">
        <f>#REF!</f>
        <v>#REF!</v>
      </c>
      <c r="D220" s="161" t="e">
        <f>#REF!</f>
        <v>#REF!</v>
      </c>
      <c r="E220" s="161" t="e">
        <f>#REF!</f>
        <v>#REF!</v>
      </c>
      <c r="F220" s="161" t="e">
        <f>#REF!</f>
        <v>#REF!</v>
      </c>
      <c r="G220" s="161" t="e">
        <f>#REF!</f>
        <v>#REF!</v>
      </c>
      <c r="H220" s="161" t="e">
        <f>#REF!</f>
        <v>#REF!</v>
      </c>
    </row>
    <row r="221" spans="1:8" x14ac:dyDescent="0.3">
      <c r="A221" s="161" t="e">
        <f>#REF!</f>
        <v>#REF!</v>
      </c>
      <c r="B221" s="161" t="e">
        <f>#REF!</f>
        <v>#REF!</v>
      </c>
      <c r="C221" s="161" t="e">
        <f>#REF!</f>
        <v>#REF!</v>
      </c>
      <c r="D221" s="161" t="e">
        <f>#REF!</f>
        <v>#REF!</v>
      </c>
      <c r="E221" s="161" t="e">
        <f>#REF!</f>
        <v>#REF!</v>
      </c>
      <c r="F221" s="161" t="e">
        <f>#REF!</f>
        <v>#REF!</v>
      </c>
      <c r="G221" s="161" t="e">
        <f>#REF!</f>
        <v>#REF!</v>
      </c>
      <c r="H221" s="161" t="e">
        <f>#REF!</f>
        <v>#REF!</v>
      </c>
    </row>
  </sheetData>
  <pageMargins left="0.5" right="0.5" top="0.75" bottom="0.75" header="0.3" footer="0.3"/>
  <pageSetup scale="57" orientation="landscape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28.33203125" style="161" bestFit="1" customWidth="1"/>
    <col min="3" max="3" width="25.33203125" style="161" customWidth="1"/>
    <col min="4" max="4" width="13.5546875" style="161" bestFit="1" customWidth="1"/>
    <col min="5" max="5" width="10.6640625" style="161" customWidth="1"/>
    <col min="6" max="6" width="12" style="161" bestFit="1" customWidth="1"/>
    <col min="7" max="7" width="23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88671875" style="161" bestFit="1" customWidth="1"/>
    <col min="14" max="14" width="1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5.4298640000000002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1020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1" t="s">
        <v>987</v>
      </c>
      <c r="D4" s="342" t="s">
        <v>541</v>
      </c>
      <c r="J4" s="342" t="s">
        <v>538</v>
      </c>
      <c r="M4" s="342" t="s">
        <v>539</v>
      </c>
      <c r="N4" s="336">
        <f>N1*N2</f>
        <v>5.4298640000000002</v>
      </c>
    </row>
    <row r="5" spans="1:14" x14ac:dyDescent="0.3">
      <c r="A5" s="342" t="s">
        <v>537</v>
      </c>
      <c r="B5" s="199" t="s">
        <v>120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1032</v>
      </c>
      <c r="C10" s="168" t="s">
        <v>1033</v>
      </c>
      <c r="D10" s="302">
        <v>4.2</v>
      </c>
      <c r="E10" s="168">
        <v>420</v>
      </c>
      <c r="F10" s="168" t="s">
        <v>573</v>
      </c>
      <c r="G10" s="168">
        <v>190</v>
      </c>
      <c r="H10" s="219" t="s">
        <v>573</v>
      </c>
      <c r="I10" s="269" t="s">
        <v>1034</v>
      </c>
      <c r="J10" s="227">
        <f>E10*G10/1000000</f>
        <v>7.9799999999999996E-2</v>
      </c>
      <c r="K10" s="227">
        <v>2E-3</v>
      </c>
      <c r="L10" s="219">
        <v>2700</v>
      </c>
      <c r="M10" s="227">
        <f>L10*K10*J10</f>
        <v>0.43092000000000003</v>
      </c>
      <c r="N10" s="223">
        <f>D10*M10</f>
        <v>1.8098640000000001</v>
      </c>
    </row>
    <row r="11" spans="1:14" s="178" customFormat="1" x14ac:dyDescent="0.3">
      <c r="M11" s="338" t="s">
        <v>547</v>
      </c>
      <c r="N11" s="337">
        <f>SUM(N10:N10)</f>
        <v>1.8098640000000001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8" x14ac:dyDescent="0.3">
      <c r="A14" s="168">
        <v>10</v>
      </c>
      <c r="B14" s="180" t="s">
        <v>589</v>
      </c>
      <c r="C14" s="171" t="s">
        <v>1035</v>
      </c>
      <c r="D14" s="368">
        <v>1.3</v>
      </c>
      <c r="E14" s="168"/>
      <c r="F14" s="168">
        <v>1</v>
      </c>
      <c r="G14" s="168"/>
      <c r="H14" s="168"/>
      <c r="I14" s="323">
        <f>D14*F14</f>
        <v>1.3</v>
      </c>
    </row>
    <row r="15" spans="1:14" x14ac:dyDescent="0.3">
      <c r="A15" s="168">
        <v>20</v>
      </c>
      <c r="B15" s="180" t="s">
        <v>591</v>
      </c>
      <c r="C15" s="171" t="s">
        <v>1036</v>
      </c>
      <c r="D15" s="368">
        <v>0.01</v>
      </c>
      <c r="E15" s="168" t="s">
        <v>1037</v>
      </c>
      <c r="F15" s="168">
        <v>232</v>
      </c>
      <c r="G15" s="168" t="s">
        <v>710</v>
      </c>
      <c r="H15" s="168">
        <v>1</v>
      </c>
      <c r="I15" s="323">
        <f>D15*F15</f>
        <v>2.3199999999999998</v>
      </c>
    </row>
    <row r="16" spans="1:14" s="178" customFormat="1" x14ac:dyDescent="0.3">
      <c r="H16" s="338" t="s">
        <v>547</v>
      </c>
      <c r="I16" s="337">
        <f>SUM(I14:I15)</f>
        <v>3.62</v>
      </c>
    </row>
  </sheetData>
  <pageMargins left="0.5" right="0.5" top="0.75" bottom="0.75" header="0.3" footer="0.3"/>
  <pageSetup scale="57" orientation="landscape"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4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28.33203125" style="161" bestFit="1" customWidth="1"/>
    <col min="3" max="3" width="20.5546875" style="161" customWidth="1"/>
    <col min="4" max="4" width="13.5546875" style="161" bestFit="1" customWidth="1"/>
    <col min="5" max="5" width="8.6640625" style="161" customWidth="1"/>
    <col min="6" max="6" width="11.33203125" style="161" bestFit="1" customWidth="1"/>
    <col min="7" max="7" width="20.109375" style="161" customWidth="1"/>
    <col min="8" max="8" width="12.44140625" style="161" bestFit="1" customWidth="1"/>
    <col min="9" max="9" width="17.88671875" style="161" customWidth="1"/>
    <col min="10" max="10" width="12.6640625" style="161" customWidth="1"/>
    <col min="11" max="11" width="10.44140625" style="161" bestFit="1" customWidth="1"/>
    <col min="12" max="12" width="11.33203125" style="161" bestFit="1" customWidth="1"/>
    <col min="13" max="13" width="17.88671875" style="161" bestFit="1" customWidth="1"/>
    <col min="14" max="14" width="13.66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N11+I18+I23</f>
        <v>4.5381733333333329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1020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988</v>
      </c>
      <c r="D4" s="342" t="s">
        <v>541</v>
      </c>
      <c r="J4" s="342" t="s">
        <v>538</v>
      </c>
      <c r="M4" s="342" t="s">
        <v>539</v>
      </c>
      <c r="N4" s="336">
        <f>N1*N2</f>
        <v>4.5381733333333329</v>
      </c>
    </row>
    <row r="5" spans="1:14" x14ac:dyDescent="0.3">
      <c r="A5" s="342" t="s">
        <v>537</v>
      </c>
      <c r="B5" s="166" t="s">
        <v>121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1032</v>
      </c>
      <c r="C10" s="168" t="s">
        <v>1038</v>
      </c>
      <c r="D10" s="302">
        <v>4.2</v>
      </c>
      <c r="E10" s="168">
        <v>830</v>
      </c>
      <c r="F10" s="168" t="s">
        <v>573</v>
      </c>
      <c r="G10" s="168">
        <v>17</v>
      </c>
      <c r="H10" s="219" t="s">
        <v>573</v>
      </c>
      <c r="I10" s="269" t="s">
        <v>1039</v>
      </c>
      <c r="J10" s="227">
        <v>1.2999999999999999E-2</v>
      </c>
      <c r="K10" s="227">
        <v>2E-3</v>
      </c>
      <c r="L10" s="219">
        <v>2700</v>
      </c>
      <c r="M10" s="227">
        <f>L10*K10*J10</f>
        <v>7.0199999999999999E-2</v>
      </c>
      <c r="N10" s="223">
        <f>D10*M10</f>
        <v>0.29483999999999999</v>
      </c>
    </row>
    <row r="11" spans="1:14" s="178" customFormat="1" x14ac:dyDescent="0.3">
      <c r="M11" s="338" t="s">
        <v>547</v>
      </c>
      <c r="N11" s="337">
        <f>SUM(N10:N10)</f>
        <v>0.29483999999999999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8" x14ac:dyDescent="0.3">
      <c r="A14" s="168">
        <v>10</v>
      </c>
      <c r="B14" s="180" t="s">
        <v>589</v>
      </c>
      <c r="C14" s="171" t="s">
        <v>1035</v>
      </c>
      <c r="D14" s="368">
        <v>1.3</v>
      </c>
      <c r="E14" s="168"/>
      <c r="F14" s="168">
        <v>1</v>
      </c>
      <c r="G14" s="168"/>
      <c r="H14" s="168"/>
      <c r="I14" s="170">
        <f>F14*D14</f>
        <v>1.3</v>
      </c>
    </row>
    <row r="15" spans="1:14" x14ac:dyDescent="0.3">
      <c r="A15" s="168">
        <v>20</v>
      </c>
      <c r="B15" s="180" t="s">
        <v>591</v>
      </c>
      <c r="C15" s="171" t="s">
        <v>1040</v>
      </c>
      <c r="D15" s="405">
        <v>0.01</v>
      </c>
      <c r="E15" s="168" t="s">
        <v>1037</v>
      </c>
      <c r="F15" s="168">
        <v>181</v>
      </c>
      <c r="G15" s="168" t="s">
        <v>710</v>
      </c>
      <c r="H15" s="168">
        <v>1</v>
      </c>
      <c r="I15" s="170">
        <f>F15*D15</f>
        <v>1.81</v>
      </c>
    </row>
    <row r="16" spans="1:14" x14ac:dyDescent="0.3">
      <c r="A16" s="168">
        <v>30</v>
      </c>
      <c r="B16" s="315" t="s">
        <v>702</v>
      </c>
      <c r="C16" s="171"/>
      <c r="D16" s="323">
        <v>0.25</v>
      </c>
      <c r="E16" s="168" t="s">
        <v>704</v>
      </c>
      <c r="F16" s="168">
        <v>2</v>
      </c>
      <c r="G16" s="168"/>
      <c r="H16" s="168"/>
      <c r="I16" s="170">
        <f>F16*D16</f>
        <v>0.5</v>
      </c>
    </row>
    <row r="17" spans="1:10" x14ac:dyDescent="0.3">
      <c r="A17" s="168">
        <v>40</v>
      </c>
      <c r="B17" s="171" t="s">
        <v>650</v>
      </c>
      <c r="C17" s="171"/>
      <c r="D17" s="323">
        <v>0.15</v>
      </c>
      <c r="E17" s="168" t="s">
        <v>593</v>
      </c>
      <c r="F17" s="168">
        <v>2</v>
      </c>
      <c r="G17" s="168"/>
      <c r="H17" s="168"/>
      <c r="I17" s="170">
        <f>F17*D17</f>
        <v>0.3</v>
      </c>
    </row>
    <row r="18" spans="1:10" s="178" customFormat="1" x14ac:dyDescent="0.3">
      <c r="H18" s="338" t="s">
        <v>547</v>
      </c>
      <c r="I18" s="337">
        <f>SUM(I14:I17)</f>
        <v>3.91</v>
      </c>
    </row>
    <row r="20" spans="1:10" x14ac:dyDescent="0.3">
      <c r="H20" s="326"/>
      <c r="I20" s="325"/>
    </row>
    <row r="21" spans="1:10" x14ac:dyDescent="0.3">
      <c r="A21" s="341" t="s">
        <v>544</v>
      </c>
      <c r="B21" s="341" t="s">
        <v>6</v>
      </c>
      <c r="C21" s="341" t="s">
        <v>549</v>
      </c>
      <c r="D21" s="341" t="s">
        <v>550</v>
      </c>
      <c r="E21" s="341" t="s">
        <v>551</v>
      </c>
      <c r="F21" s="341" t="s">
        <v>28</v>
      </c>
      <c r="G21" s="341" t="s">
        <v>691</v>
      </c>
      <c r="H21" s="341" t="s">
        <v>692</v>
      </c>
      <c r="I21" s="341" t="s">
        <v>547</v>
      </c>
      <c r="J21" s="178"/>
    </row>
    <row r="22" spans="1:10" x14ac:dyDescent="0.3">
      <c r="A22" s="168">
        <v>10</v>
      </c>
      <c r="B22" s="171" t="s">
        <v>693</v>
      </c>
      <c r="C22" s="168"/>
      <c r="D22" s="323">
        <v>500</v>
      </c>
      <c r="E22" s="168" t="s">
        <v>695</v>
      </c>
      <c r="F22" s="168">
        <v>2</v>
      </c>
      <c r="G22" s="168">
        <v>3000</v>
      </c>
      <c r="H22" s="168">
        <v>1</v>
      </c>
      <c r="I22" s="323">
        <f>D22*F22/G22*H22</f>
        <v>0.33333333333333331</v>
      </c>
    </row>
    <row r="23" spans="1:10" x14ac:dyDescent="0.3">
      <c r="A23" s="178"/>
      <c r="B23" s="178"/>
      <c r="C23" s="178"/>
      <c r="D23" s="178"/>
      <c r="E23" s="178"/>
      <c r="F23" s="178"/>
      <c r="G23" s="178"/>
      <c r="H23" s="338" t="s">
        <v>547</v>
      </c>
      <c r="I23" s="337">
        <f>SUM(I22:I22)</f>
        <v>0.33333333333333331</v>
      </c>
      <c r="J23" s="178"/>
    </row>
    <row r="24" spans="1:10" x14ac:dyDescent="0.3">
      <c r="H24" s="326"/>
      <c r="I24" s="325"/>
    </row>
  </sheetData>
  <pageMargins left="0.5" right="0.5" top="0.75" bottom="0.75" header="0.3" footer="0.3"/>
  <pageSetup scale="60" orientation="landscape"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28.33203125" style="161" bestFit="1" customWidth="1"/>
    <col min="3" max="3" width="21.6640625" style="161" customWidth="1"/>
    <col min="4" max="4" width="12.6640625" style="161" customWidth="1"/>
    <col min="5" max="5" width="11.5546875" style="161" customWidth="1"/>
    <col min="6" max="6" width="12" style="161" bestFit="1" customWidth="1"/>
    <col min="7" max="7" width="14.44140625" style="161" customWidth="1"/>
    <col min="8" max="8" width="13.88671875" style="161" bestFit="1" customWidth="1"/>
    <col min="9" max="9" width="18.33203125" style="161" customWidth="1"/>
    <col min="10" max="10" width="12.33203125" style="161" customWidth="1"/>
    <col min="11" max="11" width="10.44140625" style="161" bestFit="1" customWidth="1"/>
    <col min="12" max="12" width="9.33203125" style="161" customWidth="1"/>
    <col min="13" max="13" width="17.88671875" style="161" bestFit="1" customWidth="1"/>
    <col min="14" max="14" width="14.332031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3.542268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1020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989</v>
      </c>
      <c r="D4" s="342" t="s">
        <v>541</v>
      </c>
      <c r="J4" s="342" t="s">
        <v>538</v>
      </c>
      <c r="M4" s="342" t="s">
        <v>539</v>
      </c>
      <c r="N4" s="336">
        <f>N1*N2</f>
        <v>3.542268</v>
      </c>
    </row>
    <row r="5" spans="1:14" x14ac:dyDescent="0.3">
      <c r="A5" s="342" t="s">
        <v>537</v>
      </c>
      <c r="B5" s="166" t="s">
        <v>122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1032</v>
      </c>
      <c r="C10" s="168" t="s">
        <v>801</v>
      </c>
      <c r="D10" s="302">
        <v>4.2</v>
      </c>
      <c r="E10" s="168">
        <v>375</v>
      </c>
      <c r="F10" s="168" t="s">
        <v>573</v>
      </c>
      <c r="G10" s="168">
        <v>145</v>
      </c>
      <c r="H10" s="219" t="s">
        <v>573</v>
      </c>
      <c r="I10" s="269" t="s">
        <v>1041</v>
      </c>
      <c r="J10" s="227">
        <v>3.6999999999999998E-2</v>
      </c>
      <c r="K10" s="227">
        <v>2E-3</v>
      </c>
      <c r="L10" s="221">
        <v>2710</v>
      </c>
      <c r="M10" s="227">
        <f>L10*K10*J10</f>
        <v>0.20054</v>
      </c>
      <c r="N10" s="223">
        <f>D10*M10</f>
        <v>0.84226800000000002</v>
      </c>
    </row>
    <row r="11" spans="1:14" s="178" customFormat="1" x14ac:dyDescent="0.3">
      <c r="M11" s="338" t="s">
        <v>547</v>
      </c>
      <c r="N11" s="337">
        <f>SUM(N10:N10)</f>
        <v>0.84226800000000002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8" x14ac:dyDescent="0.3">
      <c r="A14" s="168">
        <v>10</v>
      </c>
      <c r="B14" s="180" t="s">
        <v>589</v>
      </c>
      <c r="C14" s="171" t="s">
        <v>1035</v>
      </c>
      <c r="D14" s="368">
        <v>1.3</v>
      </c>
      <c r="E14" s="168"/>
      <c r="F14" s="168">
        <v>1</v>
      </c>
      <c r="G14" s="168"/>
      <c r="H14" s="168"/>
      <c r="I14" s="170">
        <f>F14*D14</f>
        <v>1.3</v>
      </c>
    </row>
    <row r="15" spans="1:14" ht="28.8" x14ac:dyDescent="0.3">
      <c r="A15" s="168">
        <v>20</v>
      </c>
      <c r="B15" s="180" t="s">
        <v>591</v>
      </c>
      <c r="C15" s="171" t="s">
        <v>1040</v>
      </c>
      <c r="D15" s="368">
        <v>0.01</v>
      </c>
      <c r="E15" s="168" t="s">
        <v>1037</v>
      </c>
      <c r="F15" s="168">
        <v>140</v>
      </c>
      <c r="G15" s="184" t="s">
        <v>710</v>
      </c>
      <c r="H15" s="184">
        <v>1</v>
      </c>
      <c r="I15" s="170">
        <f>F15*D15</f>
        <v>1.4000000000000001</v>
      </c>
    </row>
    <row r="16" spans="1:14" s="178" customFormat="1" x14ac:dyDescent="0.3">
      <c r="H16" s="338" t="s">
        <v>547</v>
      </c>
      <c r="I16" s="337">
        <f>SUM(I14:I15)</f>
        <v>2.7</v>
      </c>
    </row>
  </sheetData>
  <pageMargins left="0.5" right="0.5" top="0.75" bottom="0.75" header="0.3" footer="0.3"/>
  <pageSetup scale="61" orientation="landscape"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6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28.33203125" style="161" bestFit="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1.88671875" style="161" bestFit="1" customWidth="1"/>
    <col min="8" max="8" width="13.88671875" style="161" bestFit="1" customWidth="1"/>
    <col min="9" max="9" width="19.88671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88671875" style="161" bestFit="1" customWidth="1"/>
    <col min="14" max="14" width="13.66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2.0561307599999998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4</v>
      </c>
    </row>
    <row r="3" spans="1:14" x14ac:dyDescent="0.3">
      <c r="A3" s="342" t="s">
        <v>534</v>
      </c>
      <c r="B3" s="161" t="s">
        <v>1020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990</v>
      </c>
      <c r="D4" s="342" t="s">
        <v>541</v>
      </c>
      <c r="J4" s="342" t="s">
        <v>538</v>
      </c>
      <c r="M4" s="342" t="s">
        <v>539</v>
      </c>
      <c r="N4" s="336">
        <f>N1*N2</f>
        <v>8.2245230399999993</v>
      </c>
    </row>
    <row r="5" spans="1:14" x14ac:dyDescent="0.3">
      <c r="A5" s="342" t="s">
        <v>537</v>
      </c>
      <c r="B5" s="166" t="s">
        <v>123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68" t="s">
        <v>720</v>
      </c>
      <c r="C10" s="168" t="s">
        <v>1042</v>
      </c>
      <c r="D10" s="302">
        <v>4.2</v>
      </c>
      <c r="E10" s="168">
        <v>40</v>
      </c>
      <c r="F10" s="168" t="s">
        <v>573</v>
      </c>
      <c r="G10" s="168">
        <v>2</v>
      </c>
      <c r="H10" s="219" t="s">
        <v>573</v>
      </c>
      <c r="I10" s="220" t="s">
        <v>896</v>
      </c>
      <c r="J10" s="227">
        <f>238.76/1000000</f>
        <v>2.3876E-4</v>
      </c>
      <c r="K10" s="227">
        <v>0.15</v>
      </c>
      <c r="L10" s="219">
        <v>2700</v>
      </c>
      <c r="M10" s="227">
        <f>L10*K10*J10</f>
        <v>9.66978E-2</v>
      </c>
      <c r="N10" s="223">
        <f>D10*M10</f>
        <v>0.40613076000000004</v>
      </c>
    </row>
    <row r="11" spans="1:14" s="178" customFormat="1" x14ac:dyDescent="0.3">
      <c r="M11" s="338" t="s">
        <v>547</v>
      </c>
      <c r="N11" s="337">
        <f>SUM(N10:N10)</f>
        <v>0.40613076000000004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x14ac:dyDescent="0.3">
      <c r="A14" s="168">
        <v>10</v>
      </c>
      <c r="B14" s="180" t="s">
        <v>668</v>
      </c>
      <c r="C14" s="168"/>
      <c r="D14" s="243">
        <v>0.15</v>
      </c>
      <c r="E14" s="180" t="s">
        <v>593</v>
      </c>
      <c r="F14" s="168">
        <v>1</v>
      </c>
      <c r="G14" s="168"/>
      <c r="H14" s="168"/>
      <c r="I14" s="170">
        <f>F14*D14</f>
        <v>0.15</v>
      </c>
    </row>
    <row r="15" spans="1:14" ht="28.8" x14ac:dyDescent="0.3">
      <c r="A15" s="168">
        <v>20</v>
      </c>
      <c r="B15" s="180" t="s">
        <v>836</v>
      </c>
      <c r="C15" s="168"/>
      <c r="D15" s="243">
        <v>0.75</v>
      </c>
      <c r="E15" s="180" t="s">
        <v>837</v>
      </c>
      <c r="F15" s="168">
        <v>2</v>
      </c>
      <c r="G15" s="168"/>
      <c r="H15" s="168"/>
      <c r="I15" s="170">
        <f>F15*D15</f>
        <v>1.5</v>
      </c>
    </row>
    <row r="16" spans="1:14" s="178" customFormat="1" x14ac:dyDescent="0.3">
      <c r="H16" s="338" t="s">
        <v>547</v>
      </c>
      <c r="I16" s="337">
        <f>SUM(I14:I15)</f>
        <v>1.65</v>
      </c>
    </row>
  </sheetData>
  <pageMargins left="0.5" right="0.5" top="0.75" bottom="0.75" header="0.3" footer="0.3"/>
  <pageSetup scale="60" orientation="landscape"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9"/>
  <sheetViews>
    <sheetView showGridLines="0" workbookViewId="0"/>
  </sheetViews>
  <sheetFormatPr defaultColWidth="9.109375" defaultRowHeight="14.4" x14ac:dyDescent="0.3"/>
  <cols>
    <col min="1" max="1" width="12.6640625" style="161" bestFit="1" customWidth="1"/>
    <col min="2" max="2" width="28.33203125" style="161" bestFit="1" customWidth="1"/>
    <col min="3" max="3" width="16.88671875" style="161" customWidth="1"/>
    <col min="4" max="4" width="12.33203125" style="161" customWidth="1"/>
    <col min="5" max="5" width="14.109375" style="161" bestFit="1" customWidth="1"/>
    <col min="6" max="6" width="12" style="161" bestFit="1" customWidth="1"/>
    <col min="7" max="7" width="12.33203125" style="161" customWidth="1"/>
    <col min="8" max="8" width="13.88671875" style="161" bestFit="1" customWidth="1"/>
    <col min="9" max="9" width="18.664062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N11+I18</f>
        <v>6.6669833812500006</v>
      </c>
    </row>
    <row r="2" spans="1:14" x14ac:dyDescent="0.3">
      <c r="A2" s="342" t="s">
        <v>532</v>
      </c>
      <c r="B2" s="161" t="s">
        <v>780</v>
      </c>
      <c r="C2" s="359" t="s">
        <v>732</v>
      </c>
      <c r="D2" s="345" t="s">
        <v>536</v>
      </c>
      <c r="M2" s="342" t="s">
        <v>533</v>
      </c>
      <c r="N2" s="165">
        <v>4</v>
      </c>
    </row>
    <row r="3" spans="1:14" x14ac:dyDescent="0.3">
      <c r="A3" s="342" t="s">
        <v>534</v>
      </c>
      <c r="B3" s="161" t="s">
        <v>1020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991</v>
      </c>
      <c r="D4" s="342" t="s">
        <v>541</v>
      </c>
      <c r="J4" s="342" t="s">
        <v>538</v>
      </c>
      <c r="M4" s="342" t="s">
        <v>539</v>
      </c>
      <c r="N4" s="336">
        <f>N1*N2</f>
        <v>26.667933525000002</v>
      </c>
    </row>
    <row r="5" spans="1:14" x14ac:dyDescent="0.3">
      <c r="A5" s="342" t="s">
        <v>537</v>
      </c>
      <c r="B5" s="166" t="s">
        <v>124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68" t="s">
        <v>1032</v>
      </c>
      <c r="C10" s="168" t="s">
        <v>1043</v>
      </c>
      <c r="D10" s="302">
        <v>4.2</v>
      </c>
      <c r="E10" s="168">
        <v>45</v>
      </c>
      <c r="F10" s="168" t="s">
        <v>573</v>
      </c>
      <c r="G10" s="168"/>
      <c r="H10" s="219"/>
      <c r="I10" s="220" t="s">
        <v>827</v>
      </c>
      <c r="J10" s="227">
        <f>3.14*E10*E10/4/1000000</f>
        <v>1.5896250000000003E-3</v>
      </c>
      <c r="K10" s="227">
        <v>7.4999999999999997E-2</v>
      </c>
      <c r="L10" s="219">
        <v>2710</v>
      </c>
      <c r="M10" s="227">
        <f>L10*K10*J10</f>
        <v>0.32309128125000008</v>
      </c>
      <c r="N10" s="223">
        <f>D10*M10</f>
        <v>1.3569833812500005</v>
      </c>
    </row>
    <row r="11" spans="1:14" s="178" customFormat="1" x14ac:dyDescent="0.3">
      <c r="M11" s="338" t="s">
        <v>547</v>
      </c>
      <c r="N11" s="337">
        <f>SUM(N10:N10)</f>
        <v>1.3569833812500005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8" x14ac:dyDescent="0.3">
      <c r="A14" s="168">
        <v>10</v>
      </c>
      <c r="B14" s="180" t="s">
        <v>589</v>
      </c>
      <c r="C14" s="171"/>
      <c r="D14" s="368">
        <v>1.3</v>
      </c>
      <c r="E14" s="168" t="s">
        <v>556</v>
      </c>
      <c r="F14" s="168">
        <v>1</v>
      </c>
      <c r="G14" s="168"/>
      <c r="H14" s="168"/>
      <c r="I14" s="170">
        <f>F14*D14</f>
        <v>1.3</v>
      </c>
    </row>
    <row r="15" spans="1:14" ht="28.8" x14ac:dyDescent="0.3">
      <c r="A15" s="168">
        <v>20</v>
      </c>
      <c r="B15" s="180" t="s">
        <v>609</v>
      </c>
      <c r="C15" s="171"/>
      <c r="D15" s="368">
        <v>0.04</v>
      </c>
      <c r="E15" s="168" t="s">
        <v>610</v>
      </c>
      <c r="F15" s="339">
        <v>82</v>
      </c>
      <c r="G15" s="184" t="s">
        <v>710</v>
      </c>
      <c r="H15" s="184">
        <v>1</v>
      </c>
      <c r="I15" s="170">
        <f>F15*D15</f>
        <v>3.2800000000000002</v>
      </c>
    </row>
    <row r="16" spans="1:14" x14ac:dyDescent="0.3">
      <c r="A16" s="168">
        <v>30</v>
      </c>
      <c r="B16" s="180" t="s">
        <v>785</v>
      </c>
      <c r="C16" s="171"/>
      <c r="D16" s="323">
        <v>0.65</v>
      </c>
      <c r="E16" s="168" t="s">
        <v>556</v>
      </c>
      <c r="F16" s="168">
        <v>1</v>
      </c>
      <c r="G16" s="168"/>
      <c r="H16" s="168"/>
      <c r="I16" s="170">
        <f>F16*D16</f>
        <v>0.65</v>
      </c>
    </row>
    <row r="17" spans="1:9" ht="28.8" x14ac:dyDescent="0.3">
      <c r="A17" s="168">
        <v>40</v>
      </c>
      <c r="B17" s="180" t="s">
        <v>609</v>
      </c>
      <c r="C17" s="171"/>
      <c r="D17" s="323">
        <v>0.04</v>
      </c>
      <c r="E17" s="168" t="s">
        <v>610</v>
      </c>
      <c r="F17" s="168">
        <v>2</v>
      </c>
      <c r="G17" s="184" t="s">
        <v>710</v>
      </c>
      <c r="H17" s="184">
        <v>1</v>
      </c>
      <c r="I17" s="170">
        <f>F17*D17</f>
        <v>0.08</v>
      </c>
    </row>
    <row r="18" spans="1:9" s="178" customFormat="1" x14ac:dyDescent="0.3">
      <c r="H18" s="338" t="s">
        <v>547</v>
      </c>
      <c r="I18" s="337">
        <f>SUM(I14:I17)</f>
        <v>5.3100000000000005</v>
      </c>
    </row>
    <row r="19" spans="1:9" x14ac:dyDescent="0.3">
      <c r="H19" s="326"/>
      <c r="I19" s="325"/>
    </row>
  </sheetData>
  <hyperlinks>
    <hyperlink ref="D2" location="'Pipe end drawing'!A1" display="FileLink1"/>
  </hyperlinks>
  <pageMargins left="0.5" right="0.5" top="0.75" bottom="0.75" header="0.3" footer="0.3"/>
  <pageSetup scale="61" orientation="landscape"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8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5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4.66406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164">
        <f>N11+I18</f>
        <v>2.6292146875000002</v>
      </c>
    </row>
    <row r="2" spans="1:14" x14ac:dyDescent="0.3">
      <c r="A2" s="342" t="s">
        <v>532</v>
      </c>
      <c r="B2" s="161" t="s">
        <v>780</v>
      </c>
      <c r="C2" s="359" t="s">
        <v>732</v>
      </c>
      <c r="D2" s="345" t="s">
        <v>536</v>
      </c>
      <c r="M2" s="342" t="s">
        <v>533</v>
      </c>
      <c r="N2" s="165">
        <v>4</v>
      </c>
    </row>
    <row r="3" spans="1:14" x14ac:dyDescent="0.3">
      <c r="A3" s="342" t="s">
        <v>534</v>
      </c>
      <c r="B3" s="161" t="s">
        <v>1020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1" t="s">
        <v>992</v>
      </c>
      <c r="D4" s="342" t="s">
        <v>541</v>
      </c>
      <c r="J4" s="342" t="s">
        <v>538</v>
      </c>
      <c r="M4" s="342" t="s">
        <v>539</v>
      </c>
      <c r="N4" s="164">
        <f>N1*N2</f>
        <v>10.516858750000001</v>
      </c>
    </row>
    <row r="5" spans="1:14" x14ac:dyDescent="0.3">
      <c r="A5" s="342" t="s">
        <v>537</v>
      </c>
      <c r="B5" s="166" t="s">
        <v>125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68" t="s">
        <v>799</v>
      </c>
      <c r="C10" s="168" t="s">
        <v>607</v>
      </c>
      <c r="D10" s="302">
        <v>4.2</v>
      </c>
      <c r="E10" s="168">
        <v>25</v>
      </c>
      <c r="F10" s="168" t="s">
        <v>573</v>
      </c>
      <c r="G10" s="168"/>
      <c r="H10" s="219"/>
      <c r="I10" s="220" t="s">
        <v>1044</v>
      </c>
      <c r="J10" s="227">
        <f>E10*E10*3.14/4/1000000</f>
        <v>4.9062499999999996E-4</v>
      </c>
      <c r="K10" s="227">
        <v>0.05</v>
      </c>
      <c r="L10" s="219">
        <v>2710</v>
      </c>
      <c r="M10" s="406">
        <f>K10*J10</f>
        <v>2.453125E-5</v>
      </c>
      <c r="N10" s="223">
        <f>L10*M10*D10</f>
        <v>0.2792146875</v>
      </c>
    </row>
    <row r="11" spans="1:14" s="178" customFormat="1" x14ac:dyDescent="0.3">
      <c r="M11" s="338" t="s">
        <v>547</v>
      </c>
      <c r="N11" s="337">
        <f>SUM(N10:N10)</f>
        <v>0.2792146875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13.95" customHeight="1" x14ac:dyDescent="0.3">
      <c r="A14" s="168">
        <v>10</v>
      </c>
      <c r="B14" s="180" t="s">
        <v>589</v>
      </c>
      <c r="C14" s="171"/>
      <c r="D14" s="368">
        <v>1.3</v>
      </c>
      <c r="E14" s="168" t="s">
        <v>556</v>
      </c>
      <c r="F14" s="168">
        <v>1</v>
      </c>
      <c r="G14" s="168"/>
      <c r="H14" s="168"/>
      <c r="I14" s="170">
        <f>F14*D14</f>
        <v>1.3</v>
      </c>
    </row>
    <row r="15" spans="1:14" ht="28.2" customHeight="1" x14ac:dyDescent="0.3">
      <c r="A15" s="168">
        <v>20</v>
      </c>
      <c r="B15" s="180" t="s">
        <v>609</v>
      </c>
      <c r="C15" s="171"/>
      <c r="D15" s="368">
        <v>0.04</v>
      </c>
      <c r="E15" s="168" t="s">
        <v>610</v>
      </c>
      <c r="F15" s="168">
        <v>6</v>
      </c>
      <c r="G15" s="184" t="s">
        <v>710</v>
      </c>
      <c r="H15" s="184">
        <v>1</v>
      </c>
      <c r="I15" s="170">
        <f>F15*D15</f>
        <v>0.24</v>
      </c>
    </row>
    <row r="16" spans="1:14" ht="13.95" customHeight="1" x14ac:dyDescent="0.3">
      <c r="A16" s="168">
        <v>30</v>
      </c>
      <c r="B16" s="285" t="s">
        <v>785</v>
      </c>
      <c r="C16" s="171"/>
      <c r="D16" s="368">
        <v>0.65</v>
      </c>
      <c r="E16" s="168" t="s">
        <v>556</v>
      </c>
      <c r="F16" s="168">
        <v>1</v>
      </c>
      <c r="G16" s="168"/>
      <c r="H16" s="168"/>
      <c r="I16" s="170">
        <f>F16*D16</f>
        <v>0.65</v>
      </c>
    </row>
    <row r="17" spans="1:9" ht="28.2" customHeight="1" x14ac:dyDescent="0.3">
      <c r="A17" s="168">
        <v>40</v>
      </c>
      <c r="B17" s="180" t="s">
        <v>609</v>
      </c>
      <c r="C17" s="171"/>
      <c r="D17" s="368">
        <v>0.04</v>
      </c>
      <c r="E17" s="168" t="s">
        <v>610</v>
      </c>
      <c r="F17" s="168">
        <v>4</v>
      </c>
      <c r="G17" s="184" t="s">
        <v>710</v>
      </c>
      <c r="H17" s="184">
        <v>1</v>
      </c>
      <c r="I17" s="170">
        <f>F17*D17</f>
        <v>0.16</v>
      </c>
    </row>
    <row r="18" spans="1:9" s="178" customFormat="1" x14ac:dyDescent="0.3">
      <c r="H18" s="338" t="s">
        <v>547</v>
      </c>
      <c r="I18" s="337">
        <f>SUM(I14:I17)</f>
        <v>2.35</v>
      </c>
    </row>
  </sheetData>
  <hyperlinks>
    <hyperlink ref="D2" location="'Injector housing drawing (2)'!A1" display="FileLink1"/>
  </hyperlinks>
  <pageMargins left="0.5" right="0.5" top="0.75" bottom="0.75" header="0.3" footer="0.3"/>
  <pageSetup scale="62" orientation="landscape"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0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1.66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3.3320312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164">
        <f>N11+I16</f>
        <v>2.257314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1020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993</v>
      </c>
      <c r="D4" s="342" t="s">
        <v>541</v>
      </c>
      <c r="J4" s="342" t="s">
        <v>538</v>
      </c>
      <c r="M4" s="342" t="s">
        <v>539</v>
      </c>
      <c r="N4" s="164">
        <f>N1*N2</f>
        <v>2.257314</v>
      </c>
    </row>
    <row r="5" spans="1:14" x14ac:dyDescent="0.3">
      <c r="A5" s="342" t="s">
        <v>537</v>
      </c>
      <c r="B5" s="166" t="s">
        <v>126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720</v>
      </c>
      <c r="C10" s="168" t="s">
        <v>976</v>
      </c>
      <c r="D10" s="302">
        <v>4.2</v>
      </c>
      <c r="E10" s="168">
        <v>300</v>
      </c>
      <c r="F10" s="168" t="s">
        <v>573</v>
      </c>
      <c r="G10" s="168">
        <v>30</v>
      </c>
      <c r="H10" s="219" t="s">
        <v>573</v>
      </c>
      <c r="I10" s="269" t="s">
        <v>1045</v>
      </c>
      <c r="J10" s="227">
        <f>G10*E10/1000000</f>
        <v>8.9999999999999993E-3</v>
      </c>
      <c r="K10" s="227">
        <v>3.0000000000000001E-3</v>
      </c>
      <c r="L10" s="219">
        <v>2710</v>
      </c>
      <c r="M10" s="227">
        <f>K10*J10</f>
        <v>2.6999999999999999E-5</v>
      </c>
      <c r="N10" s="223">
        <f>L10*M10*D10</f>
        <v>0.30731400000000003</v>
      </c>
    </row>
    <row r="11" spans="1:14" s="178" customFormat="1" x14ac:dyDescent="0.3">
      <c r="M11" s="338" t="s">
        <v>547</v>
      </c>
      <c r="N11" s="337">
        <f>SUM(N10:N10)</f>
        <v>0.30731400000000003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8" x14ac:dyDescent="0.3">
      <c r="A14" s="168">
        <v>10</v>
      </c>
      <c r="B14" s="180" t="s">
        <v>589</v>
      </c>
      <c r="C14" s="407" t="s">
        <v>1035</v>
      </c>
      <c r="D14" s="368">
        <v>1.3</v>
      </c>
      <c r="E14" s="408"/>
      <c r="F14" s="168">
        <v>1</v>
      </c>
      <c r="G14" s="168"/>
      <c r="H14" s="168"/>
      <c r="I14" s="170">
        <f>F14*D14</f>
        <v>1.3</v>
      </c>
    </row>
    <row r="15" spans="1:14" ht="28.8" x14ac:dyDescent="0.3">
      <c r="A15" s="168">
        <v>20</v>
      </c>
      <c r="B15" s="180" t="s">
        <v>700</v>
      </c>
      <c r="C15" s="409" t="s">
        <v>592</v>
      </c>
      <c r="D15" s="368">
        <v>0.01</v>
      </c>
      <c r="E15" s="408" t="s">
        <v>593</v>
      </c>
      <c r="F15" s="168">
        <v>65</v>
      </c>
      <c r="G15" s="184" t="s">
        <v>710</v>
      </c>
      <c r="H15" s="184">
        <v>1</v>
      </c>
      <c r="I15" s="170">
        <f>F15*D15</f>
        <v>0.65</v>
      </c>
    </row>
    <row r="16" spans="1:14" s="178" customFormat="1" x14ac:dyDescent="0.3">
      <c r="H16" s="338" t="s">
        <v>547</v>
      </c>
      <c r="I16" s="337">
        <f>SUM(I14:I15)</f>
        <v>1.9500000000000002</v>
      </c>
    </row>
    <row r="68" spans="1:8" x14ac:dyDescent="0.3">
      <c r="A68" s="161" t="e">
        <f>#REF!</f>
        <v>#REF!</v>
      </c>
      <c r="B68" s="161" t="e">
        <f>#REF!</f>
        <v>#REF!</v>
      </c>
      <c r="C68" s="161" t="e">
        <f>#REF!</f>
        <v>#REF!</v>
      </c>
      <c r="D68" s="161" t="e">
        <f>#REF!</f>
        <v>#REF!</v>
      </c>
      <c r="E68" s="161" t="e">
        <f>#REF!</f>
        <v>#REF!</v>
      </c>
      <c r="F68" s="161" t="e">
        <f>#REF!</f>
        <v>#REF!</v>
      </c>
      <c r="G68" s="161" t="e">
        <f>#REF!</f>
        <v>#REF!</v>
      </c>
      <c r="H68" s="161" t="e">
        <f>#REF!</f>
        <v>#REF!</v>
      </c>
    </row>
    <row r="69" spans="1:8" x14ac:dyDescent="0.3">
      <c r="A69" s="161" t="e">
        <f>#REF!</f>
        <v>#REF!</v>
      </c>
      <c r="B69" s="161" t="e">
        <f>#REF!</f>
        <v>#REF!</v>
      </c>
      <c r="C69" s="161" t="e">
        <f>#REF!</f>
        <v>#REF!</v>
      </c>
      <c r="D69" s="161" t="e">
        <f>#REF!</f>
        <v>#REF!</v>
      </c>
      <c r="E69" s="161" t="e">
        <f>#REF!</f>
        <v>#REF!</v>
      </c>
      <c r="F69" s="161" t="e">
        <f>#REF!</f>
        <v>#REF!</v>
      </c>
      <c r="G69" s="161" t="e">
        <f>#REF!</f>
        <v>#REF!</v>
      </c>
      <c r="H69" s="161" t="e">
        <f>#REF!</f>
        <v>#REF!</v>
      </c>
    </row>
    <row r="70" spans="1:8" x14ac:dyDescent="0.3">
      <c r="A70" s="161" t="e">
        <f>#REF!</f>
        <v>#REF!</v>
      </c>
      <c r="B70" s="161" t="e">
        <f>#REF!</f>
        <v>#REF!</v>
      </c>
      <c r="C70" s="161" t="e">
        <f>#REF!</f>
        <v>#REF!</v>
      </c>
      <c r="D70" s="161" t="e">
        <f>#REF!</f>
        <v>#REF!</v>
      </c>
      <c r="E70" s="161" t="e">
        <f>#REF!</f>
        <v>#REF!</v>
      </c>
      <c r="F70" s="161" t="e">
        <f>#REF!</f>
        <v>#REF!</v>
      </c>
      <c r="G70" s="161" t="e">
        <f>#REF!</f>
        <v>#REF!</v>
      </c>
      <c r="H70" s="161" t="e">
        <f>#REF!</f>
        <v>#REF!</v>
      </c>
    </row>
    <row r="71" spans="1:8" x14ac:dyDescent="0.3">
      <c r="A71" s="161" t="e">
        <f>#REF!</f>
        <v>#REF!</v>
      </c>
      <c r="B71" s="161" t="e">
        <f>#REF!</f>
        <v>#REF!</v>
      </c>
      <c r="C71" s="161" t="e">
        <f>#REF!</f>
        <v>#REF!</v>
      </c>
      <c r="D71" s="161" t="e">
        <f>#REF!</f>
        <v>#REF!</v>
      </c>
      <c r="E71" s="161" t="e">
        <f>#REF!</f>
        <v>#REF!</v>
      </c>
      <c r="F71" s="161" t="e">
        <f>#REF!</f>
        <v>#REF!</v>
      </c>
      <c r="G71" s="161" t="e">
        <f>#REF!</f>
        <v>#REF!</v>
      </c>
      <c r="H71" s="161" t="e">
        <f>#REF!</f>
        <v>#REF!</v>
      </c>
    </row>
    <row r="72" spans="1:8" x14ac:dyDescent="0.3">
      <c r="A72" s="161" t="e">
        <f>#REF!</f>
        <v>#REF!</v>
      </c>
      <c r="B72" s="161" t="e">
        <f>#REF!</f>
        <v>#REF!</v>
      </c>
      <c r="C72" s="161" t="e">
        <f>#REF!</f>
        <v>#REF!</v>
      </c>
      <c r="D72" s="161" t="e">
        <f>#REF!</f>
        <v>#REF!</v>
      </c>
      <c r="E72" s="161" t="e">
        <f>#REF!</f>
        <v>#REF!</v>
      </c>
      <c r="F72" s="161" t="e">
        <f>#REF!</f>
        <v>#REF!</v>
      </c>
      <c r="G72" s="161" t="e">
        <f>#REF!</f>
        <v>#REF!</v>
      </c>
      <c r="H72" s="161" t="e">
        <f>#REF!</f>
        <v>#REF!</v>
      </c>
    </row>
    <row r="73" spans="1:8" x14ac:dyDescent="0.3">
      <c r="A73" s="161" t="e">
        <f>#REF!</f>
        <v>#REF!</v>
      </c>
      <c r="B73" s="161" t="e">
        <f>#REF!</f>
        <v>#REF!</v>
      </c>
      <c r="C73" s="161" t="e">
        <f>#REF!</f>
        <v>#REF!</v>
      </c>
      <c r="D73" s="161" t="e">
        <f>#REF!</f>
        <v>#REF!</v>
      </c>
      <c r="E73" s="161" t="e">
        <f>#REF!</f>
        <v>#REF!</v>
      </c>
      <c r="F73" s="161" t="e">
        <f>#REF!</f>
        <v>#REF!</v>
      </c>
      <c r="G73" s="161" t="e">
        <f>#REF!</f>
        <v>#REF!</v>
      </c>
      <c r="H73" s="161" t="e">
        <f>#REF!</f>
        <v>#REF!</v>
      </c>
    </row>
    <row r="74" spans="1:8" x14ac:dyDescent="0.3">
      <c r="A74" s="161" t="e">
        <f>#REF!</f>
        <v>#REF!</v>
      </c>
      <c r="B74" s="161" t="e">
        <f>#REF!</f>
        <v>#REF!</v>
      </c>
      <c r="C74" s="161" t="e">
        <f>#REF!</f>
        <v>#REF!</v>
      </c>
      <c r="D74" s="161" t="e">
        <f>#REF!</f>
        <v>#REF!</v>
      </c>
      <c r="E74" s="161" t="e">
        <f>#REF!</f>
        <v>#REF!</v>
      </c>
      <c r="F74" s="161" t="e">
        <f>#REF!</f>
        <v>#REF!</v>
      </c>
      <c r="G74" s="161" t="e">
        <f>#REF!</f>
        <v>#REF!</v>
      </c>
      <c r="H74" s="161" t="e">
        <f>#REF!</f>
        <v>#REF!</v>
      </c>
    </row>
    <row r="75" spans="1:8" x14ac:dyDescent="0.3">
      <c r="A75" s="161" t="e">
        <f>#REF!</f>
        <v>#REF!</v>
      </c>
      <c r="B75" s="161" t="e">
        <f>#REF!</f>
        <v>#REF!</v>
      </c>
      <c r="C75" s="161" t="e">
        <f>#REF!</f>
        <v>#REF!</v>
      </c>
      <c r="D75" s="161" t="e">
        <f>#REF!</f>
        <v>#REF!</v>
      </c>
      <c r="E75" s="161" t="e">
        <f>#REF!</f>
        <v>#REF!</v>
      </c>
      <c r="F75" s="161" t="e">
        <f>#REF!</f>
        <v>#REF!</v>
      </c>
      <c r="G75" s="161" t="e">
        <f>#REF!</f>
        <v>#REF!</v>
      </c>
      <c r="H75" s="161" t="e">
        <f>#REF!</f>
        <v>#REF!</v>
      </c>
    </row>
    <row r="76" spans="1:8" x14ac:dyDescent="0.3">
      <c r="A76" s="161" t="e">
        <f>#REF!</f>
        <v>#REF!</v>
      </c>
      <c r="B76" s="161" t="e">
        <f>#REF!</f>
        <v>#REF!</v>
      </c>
      <c r="C76" s="161" t="e">
        <f>#REF!</f>
        <v>#REF!</v>
      </c>
      <c r="D76" s="161" t="e">
        <f>#REF!</f>
        <v>#REF!</v>
      </c>
      <c r="E76" s="161" t="e">
        <f>#REF!</f>
        <v>#REF!</v>
      </c>
      <c r="F76" s="161" t="e">
        <f>#REF!</f>
        <v>#REF!</v>
      </c>
      <c r="G76" s="161" t="e">
        <f>#REF!</f>
        <v>#REF!</v>
      </c>
      <c r="H76" s="161" t="e">
        <f>#REF!</f>
        <v>#REF!</v>
      </c>
    </row>
    <row r="77" spans="1:8" x14ac:dyDescent="0.3">
      <c r="A77" s="161" t="e">
        <f>#REF!</f>
        <v>#REF!</v>
      </c>
      <c r="B77" s="161" t="e">
        <f>#REF!</f>
        <v>#REF!</v>
      </c>
      <c r="C77" s="161" t="e">
        <f>#REF!</f>
        <v>#REF!</v>
      </c>
      <c r="D77" s="161" t="e">
        <f>#REF!</f>
        <v>#REF!</v>
      </c>
      <c r="E77" s="161" t="e">
        <f>#REF!</f>
        <v>#REF!</v>
      </c>
      <c r="F77" s="161" t="e">
        <f>#REF!</f>
        <v>#REF!</v>
      </c>
      <c r="G77" s="161" t="e">
        <f>#REF!</f>
        <v>#REF!</v>
      </c>
      <c r="H77" s="161" t="e">
        <f>#REF!</f>
        <v>#REF!</v>
      </c>
    </row>
    <row r="78" spans="1:8" x14ac:dyDescent="0.3">
      <c r="A78" s="161" t="e">
        <f>#REF!</f>
        <v>#REF!</v>
      </c>
      <c r="B78" s="161" t="e">
        <f>#REF!</f>
        <v>#REF!</v>
      </c>
      <c r="C78" s="161" t="e">
        <f>#REF!</f>
        <v>#REF!</v>
      </c>
      <c r="D78" s="161" t="e">
        <f>#REF!</f>
        <v>#REF!</v>
      </c>
      <c r="E78" s="161" t="e">
        <f>#REF!</f>
        <v>#REF!</v>
      </c>
      <c r="F78" s="161" t="e">
        <f>#REF!</f>
        <v>#REF!</v>
      </c>
      <c r="G78" s="161" t="e">
        <f>#REF!</f>
        <v>#REF!</v>
      </c>
      <c r="H78" s="161" t="e">
        <f>#REF!</f>
        <v>#REF!</v>
      </c>
    </row>
    <row r="79" spans="1:8" x14ac:dyDescent="0.3">
      <c r="A79" s="161" t="e">
        <f>#REF!</f>
        <v>#REF!</v>
      </c>
      <c r="B79" s="161" t="e">
        <f>#REF!</f>
        <v>#REF!</v>
      </c>
      <c r="C79" s="161" t="e">
        <f>#REF!</f>
        <v>#REF!</v>
      </c>
      <c r="D79" s="161" t="e">
        <f>#REF!</f>
        <v>#REF!</v>
      </c>
      <c r="E79" s="161" t="e">
        <f>#REF!</f>
        <v>#REF!</v>
      </c>
      <c r="F79" s="161" t="e">
        <f>#REF!</f>
        <v>#REF!</v>
      </c>
      <c r="G79" s="161" t="e">
        <f>#REF!</f>
        <v>#REF!</v>
      </c>
      <c r="H79" s="161" t="e">
        <f>#REF!</f>
        <v>#REF!</v>
      </c>
    </row>
    <row r="80" spans="1:8" x14ac:dyDescent="0.3">
      <c r="A80" s="161" t="e">
        <f>#REF!</f>
        <v>#REF!</v>
      </c>
      <c r="B80" s="161" t="e">
        <f>#REF!</f>
        <v>#REF!</v>
      </c>
      <c r="C80" s="161" t="e">
        <f>#REF!</f>
        <v>#REF!</v>
      </c>
      <c r="D80" s="161" t="e">
        <f>#REF!</f>
        <v>#REF!</v>
      </c>
      <c r="E80" s="161" t="e">
        <f>#REF!</f>
        <v>#REF!</v>
      </c>
      <c r="F80" s="161" t="e">
        <f>#REF!</f>
        <v>#REF!</v>
      </c>
      <c r="G80" s="161" t="e">
        <f>#REF!</f>
        <v>#REF!</v>
      </c>
      <c r="H80" s="161" t="e">
        <f>#REF!</f>
        <v>#REF!</v>
      </c>
    </row>
    <row r="81" spans="1:8" x14ac:dyDescent="0.3">
      <c r="A81" s="161" t="e">
        <f>#REF!</f>
        <v>#REF!</v>
      </c>
      <c r="B81" s="161" t="e">
        <f>#REF!</f>
        <v>#REF!</v>
      </c>
      <c r="C81" s="161" t="e">
        <f>#REF!</f>
        <v>#REF!</v>
      </c>
      <c r="D81" s="161" t="e">
        <f>#REF!</f>
        <v>#REF!</v>
      </c>
      <c r="E81" s="161" t="e">
        <f>#REF!</f>
        <v>#REF!</v>
      </c>
      <c r="F81" s="161" t="e">
        <f>#REF!</f>
        <v>#REF!</v>
      </c>
      <c r="G81" s="161" t="e">
        <f>#REF!</f>
        <v>#REF!</v>
      </c>
      <c r="H81" s="161" t="e">
        <f>#REF!</f>
        <v>#REF!</v>
      </c>
    </row>
    <row r="82" spans="1:8" x14ac:dyDescent="0.3">
      <c r="A82" s="161" t="e">
        <f>#REF!</f>
        <v>#REF!</v>
      </c>
      <c r="B82" s="161" t="e">
        <f>#REF!</f>
        <v>#REF!</v>
      </c>
      <c r="C82" s="161" t="e">
        <f>#REF!</f>
        <v>#REF!</v>
      </c>
      <c r="D82" s="161" t="e">
        <f>#REF!</f>
        <v>#REF!</v>
      </c>
      <c r="E82" s="161" t="e">
        <f>#REF!</f>
        <v>#REF!</v>
      </c>
      <c r="F82" s="161" t="e">
        <f>#REF!</f>
        <v>#REF!</v>
      </c>
      <c r="G82" s="161" t="e">
        <f>#REF!</f>
        <v>#REF!</v>
      </c>
      <c r="H82" s="161" t="e">
        <f>#REF!</f>
        <v>#REF!</v>
      </c>
    </row>
    <row r="83" spans="1:8" x14ac:dyDescent="0.3">
      <c r="A83" s="161" t="e">
        <f>#REF!</f>
        <v>#REF!</v>
      </c>
      <c r="B83" s="161" t="e">
        <f>#REF!</f>
        <v>#REF!</v>
      </c>
      <c r="C83" s="161" t="e">
        <f>#REF!</f>
        <v>#REF!</v>
      </c>
      <c r="D83" s="161" t="e">
        <f>#REF!</f>
        <v>#REF!</v>
      </c>
      <c r="E83" s="161" t="e">
        <f>#REF!</f>
        <v>#REF!</v>
      </c>
      <c r="F83" s="161" t="e">
        <f>#REF!</f>
        <v>#REF!</v>
      </c>
      <c r="G83" s="161" t="e">
        <f>#REF!</f>
        <v>#REF!</v>
      </c>
      <c r="H83" s="161" t="e">
        <f>#REF!</f>
        <v>#REF!</v>
      </c>
    </row>
    <row r="84" spans="1:8" x14ac:dyDescent="0.3">
      <c r="A84" s="161" t="e">
        <f>#REF!</f>
        <v>#REF!</v>
      </c>
      <c r="B84" s="161" t="e">
        <f>#REF!</f>
        <v>#REF!</v>
      </c>
      <c r="C84" s="161" t="e">
        <f>#REF!</f>
        <v>#REF!</v>
      </c>
      <c r="D84" s="161" t="e">
        <f>#REF!</f>
        <v>#REF!</v>
      </c>
      <c r="E84" s="161" t="e">
        <f>#REF!</f>
        <v>#REF!</v>
      </c>
      <c r="F84" s="161" t="e">
        <f>#REF!</f>
        <v>#REF!</v>
      </c>
      <c r="G84" s="161" t="e">
        <f>#REF!</f>
        <v>#REF!</v>
      </c>
      <c r="H84" s="161" t="e">
        <f>#REF!</f>
        <v>#REF!</v>
      </c>
    </row>
    <row r="85" spans="1:8" x14ac:dyDescent="0.3">
      <c r="A85" s="161" t="e">
        <f>#REF!</f>
        <v>#REF!</v>
      </c>
      <c r="B85" s="161" t="e">
        <f>#REF!</f>
        <v>#REF!</v>
      </c>
      <c r="C85" s="161" t="e">
        <f>#REF!</f>
        <v>#REF!</v>
      </c>
      <c r="D85" s="161" t="e">
        <f>#REF!</f>
        <v>#REF!</v>
      </c>
      <c r="E85" s="161" t="e">
        <f>#REF!</f>
        <v>#REF!</v>
      </c>
      <c r="F85" s="161" t="e">
        <f>#REF!</f>
        <v>#REF!</v>
      </c>
      <c r="G85" s="161" t="e">
        <f>#REF!</f>
        <v>#REF!</v>
      </c>
      <c r="H85" s="161" t="e">
        <f>#REF!</f>
        <v>#REF!</v>
      </c>
    </row>
    <row r="86" spans="1:8" x14ac:dyDescent="0.3">
      <c r="A86" s="161" t="e">
        <f>#REF!</f>
        <v>#REF!</v>
      </c>
      <c r="B86" s="161" t="e">
        <f>#REF!</f>
        <v>#REF!</v>
      </c>
      <c r="C86" s="161" t="e">
        <f>#REF!</f>
        <v>#REF!</v>
      </c>
      <c r="D86" s="161" t="e">
        <f>#REF!</f>
        <v>#REF!</v>
      </c>
      <c r="E86" s="161" t="e">
        <f>#REF!</f>
        <v>#REF!</v>
      </c>
      <c r="F86" s="161" t="e">
        <f>#REF!</f>
        <v>#REF!</v>
      </c>
      <c r="G86" s="161" t="e">
        <f>#REF!</f>
        <v>#REF!</v>
      </c>
      <c r="H86" s="161" t="e">
        <f>#REF!</f>
        <v>#REF!</v>
      </c>
    </row>
    <row r="87" spans="1:8" x14ac:dyDescent="0.3">
      <c r="A87" s="161" t="e">
        <f>#REF!</f>
        <v>#REF!</v>
      </c>
      <c r="B87" s="161" t="e">
        <f>#REF!</f>
        <v>#REF!</v>
      </c>
      <c r="C87" s="161" t="e">
        <f>#REF!</f>
        <v>#REF!</v>
      </c>
      <c r="D87" s="161" t="e">
        <f>#REF!</f>
        <v>#REF!</v>
      </c>
      <c r="E87" s="161" t="e">
        <f>#REF!</f>
        <v>#REF!</v>
      </c>
      <c r="F87" s="161" t="e">
        <f>#REF!</f>
        <v>#REF!</v>
      </c>
      <c r="G87" s="161" t="e">
        <f>#REF!</f>
        <v>#REF!</v>
      </c>
      <c r="H87" s="161" t="e">
        <f>#REF!</f>
        <v>#REF!</v>
      </c>
    </row>
    <row r="88" spans="1:8" x14ac:dyDescent="0.3">
      <c r="A88" s="161" t="e">
        <f>#REF!</f>
        <v>#REF!</v>
      </c>
      <c r="B88" s="161" t="e">
        <f>#REF!</f>
        <v>#REF!</v>
      </c>
      <c r="C88" s="161" t="e">
        <f>#REF!</f>
        <v>#REF!</v>
      </c>
      <c r="D88" s="161" t="e">
        <f>#REF!</f>
        <v>#REF!</v>
      </c>
      <c r="E88" s="161" t="e">
        <f>#REF!</f>
        <v>#REF!</v>
      </c>
      <c r="F88" s="161" t="e">
        <f>#REF!</f>
        <v>#REF!</v>
      </c>
      <c r="G88" s="161" t="e">
        <f>#REF!</f>
        <v>#REF!</v>
      </c>
      <c r="H88" s="161" t="e">
        <f>#REF!</f>
        <v>#REF!</v>
      </c>
    </row>
    <row r="89" spans="1:8" x14ac:dyDescent="0.3">
      <c r="A89" s="161" t="e">
        <f>#REF!</f>
        <v>#REF!</v>
      </c>
      <c r="B89" s="161" t="e">
        <f>#REF!</f>
        <v>#REF!</v>
      </c>
      <c r="C89" s="161" t="e">
        <f>#REF!</f>
        <v>#REF!</v>
      </c>
      <c r="D89" s="161" t="e">
        <f>#REF!</f>
        <v>#REF!</v>
      </c>
      <c r="E89" s="161" t="e">
        <f>#REF!</f>
        <v>#REF!</v>
      </c>
      <c r="F89" s="161" t="e">
        <f>#REF!</f>
        <v>#REF!</v>
      </c>
      <c r="G89" s="161" t="e">
        <f>#REF!</f>
        <v>#REF!</v>
      </c>
      <c r="H89" s="161" t="e">
        <f>#REF!</f>
        <v>#REF!</v>
      </c>
    </row>
    <row r="90" spans="1:8" x14ac:dyDescent="0.3">
      <c r="A90" s="161" t="e">
        <f>#REF!</f>
        <v>#REF!</v>
      </c>
      <c r="B90" s="161" t="e">
        <f>#REF!</f>
        <v>#REF!</v>
      </c>
      <c r="C90" s="161" t="e">
        <f>#REF!</f>
        <v>#REF!</v>
      </c>
      <c r="D90" s="161" t="e">
        <f>#REF!</f>
        <v>#REF!</v>
      </c>
      <c r="E90" s="161" t="e">
        <f>#REF!</f>
        <v>#REF!</v>
      </c>
      <c r="F90" s="161" t="e">
        <f>#REF!</f>
        <v>#REF!</v>
      </c>
      <c r="G90" s="161" t="e">
        <f>#REF!</f>
        <v>#REF!</v>
      </c>
      <c r="H90" s="161" t="e">
        <f>#REF!</f>
        <v>#REF!</v>
      </c>
    </row>
    <row r="91" spans="1:8" x14ac:dyDescent="0.3">
      <c r="A91" s="161" t="e">
        <f>#REF!</f>
        <v>#REF!</v>
      </c>
      <c r="B91" s="161" t="e">
        <f>#REF!</f>
        <v>#REF!</v>
      </c>
      <c r="C91" s="161" t="e">
        <f>#REF!</f>
        <v>#REF!</v>
      </c>
      <c r="D91" s="161" t="e">
        <f>#REF!</f>
        <v>#REF!</v>
      </c>
      <c r="E91" s="161" t="e">
        <f>#REF!</f>
        <v>#REF!</v>
      </c>
      <c r="F91" s="161" t="e">
        <f>#REF!</f>
        <v>#REF!</v>
      </c>
      <c r="G91" s="161" t="e">
        <f>#REF!</f>
        <v>#REF!</v>
      </c>
      <c r="H91" s="161" t="e">
        <f>#REF!</f>
        <v>#REF!</v>
      </c>
    </row>
    <row r="92" spans="1:8" x14ac:dyDescent="0.3">
      <c r="A92" s="161" t="e">
        <f>#REF!</f>
        <v>#REF!</v>
      </c>
      <c r="B92" s="161" t="e">
        <f>#REF!</f>
        <v>#REF!</v>
      </c>
      <c r="C92" s="161" t="e">
        <f>#REF!</f>
        <v>#REF!</v>
      </c>
      <c r="D92" s="161" t="e">
        <f>#REF!</f>
        <v>#REF!</v>
      </c>
      <c r="E92" s="161" t="e">
        <f>#REF!</f>
        <v>#REF!</v>
      </c>
      <c r="F92" s="161" t="e">
        <f>#REF!</f>
        <v>#REF!</v>
      </c>
      <c r="G92" s="161" t="e">
        <f>#REF!</f>
        <v>#REF!</v>
      </c>
      <c r="H92" s="161" t="e">
        <f>#REF!</f>
        <v>#REF!</v>
      </c>
    </row>
    <row r="93" spans="1:8" x14ac:dyDescent="0.3">
      <c r="A93" s="161" t="e">
        <f>#REF!</f>
        <v>#REF!</v>
      </c>
      <c r="B93" s="161" t="e">
        <f>#REF!</f>
        <v>#REF!</v>
      </c>
      <c r="C93" s="161" t="e">
        <f>#REF!</f>
        <v>#REF!</v>
      </c>
      <c r="D93" s="161" t="e">
        <f>#REF!</f>
        <v>#REF!</v>
      </c>
      <c r="E93" s="161" t="e">
        <f>#REF!</f>
        <v>#REF!</v>
      </c>
      <c r="F93" s="161" t="e">
        <f>#REF!</f>
        <v>#REF!</v>
      </c>
      <c r="G93" s="161" t="e">
        <f>#REF!</f>
        <v>#REF!</v>
      </c>
      <c r="H93" s="161" t="e">
        <f>#REF!</f>
        <v>#REF!</v>
      </c>
    </row>
    <row r="94" spans="1:8" x14ac:dyDescent="0.3">
      <c r="A94" s="161" t="e">
        <f>#REF!</f>
        <v>#REF!</v>
      </c>
      <c r="B94" s="161" t="e">
        <f>#REF!</f>
        <v>#REF!</v>
      </c>
      <c r="C94" s="161" t="e">
        <f>#REF!</f>
        <v>#REF!</v>
      </c>
      <c r="D94" s="161" t="e">
        <f>#REF!</f>
        <v>#REF!</v>
      </c>
      <c r="E94" s="161" t="e">
        <f>#REF!</f>
        <v>#REF!</v>
      </c>
      <c r="F94" s="161" t="e">
        <f>#REF!</f>
        <v>#REF!</v>
      </c>
      <c r="G94" s="161" t="e">
        <f>#REF!</f>
        <v>#REF!</v>
      </c>
      <c r="H94" s="161" t="e">
        <f>#REF!</f>
        <v>#REF!</v>
      </c>
    </row>
    <row r="95" spans="1:8" x14ac:dyDescent="0.3">
      <c r="A95" s="161" t="e">
        <f>#REF!</f>
        <v>#REF!</v>
      </c>
      <c r="B95" s="161" t="e">
        <f>#REF!</f>
        <v>#REF!</v>
      </c>
      <c r="C95" s="161" t="e">
        <f>#REF!</f>
        <v>#REF!</v>
      </c>
      <c r="D95" s="161" t="e">
        <f>#REF!</f>
        <v>#REF!</v>
      </c>
      <c r="E95" s="161" t="e">
        <f>#REF!</f>
        <v>#REF!</v>
      </c>
      <c r="F95" s="161" t="e">
        <f>#REF!</f>
        <v>#REF!</v>
      </c>
      <c r="G95" s="161" t="e">
        <f>#REF!</f>
        <v>#REF!</v>
      </c>
      <c r="H95" s="161" t="e">
        <f>#REF!</f>
        <v>#REF!</v>
      </c>
    </row>
    <row r="96" spans="1:8" x14ac:dyDescent="0.3">
      <c r="A96" s="161" t="e">
        <f>#REF!</f>
        <v>#REF!</v>
      </c>
      <c r="B96" s="161" t="e">
        <f>#REF!</f>
        <v>#REF!</v>
      </c>
      <c r="C96" s="161" t="e">
        <f>#REF!</f>
        <v>#REF!</v>
      </c>
      <c r="D96" s="161" t="e">
        <f>#REF!</f>
        <v>#REF!</v>
      </c>
      <c r="E96" s="161" t="e">
        <f>#REF!</f>
        <v>#REF!</v>
      </c>
      <c r="F96" s="161" t="e">
        <f>#REF!</f>
        <v>#REF!</v>
      </c>
      <c r="G96" s="161" t="e">
        <f>#REF!</f>
        <v>#REF!</v>
      </c>
      <c r="H96" s="161" t="e">
        <f>#REF!</f>
        <v>#REF!</v>
      </c>
    </row>
    <row r="97" spans="1:8" x14ac:dyDescent="0.3">
      <c r="A97" s="161" t="e">
        <f>#REF!</f>
        <v>#REF!</v>
      </c>
      <c r="B97" s="161" t="e">
        <f>#REF!</f>
        <v>#REF!</v>
      </c>
      <c r="C97" s="161" t="e">
        <f>#REF!</f>
        <v>#REF!</v>
      </c>
      <c r="D97" s="161" t="e">
        <f>#REF!</f>
        <v>#REF!</v>
      </c>
      <c r="E97" s="161" t="e">
        <f>#REF!</f>
        <v>#REF!</v>
      </c>
      <c r="F97" s="161" t="e">
        <f>#REF!</f>
        <v>#REF!</v>
      </c>
      <c r="G97" s="161" t="e">
        <f>#REF!</f>
        <v>#REF!</v>
      </c>
      <c r="H97" s="161" t="e">
        <f>#REF!</f>
        <v>#REF!</v>
      </c>
    </row>
    <row r="98" spans="1:8" x14ac:dyDescent="0.3">
      <c r="A98" s="161" t="e">
        <f>#REF!</f>
        <v>#REF!</v>
      </c>
      <c r="B98" s="161" t="e">
        <f>#REF!</f>
        <v>#REF!</v>
      </c>
      <c r="C98" s="161" t="e">
        <f>#REF!</f>
        <v>#REF!</v>
      </c>
      <c r="D98" s="161" t="e">
        <f>#REF!</f>
        <v>#REF!</v>
      </c>
      <c r="E98" s="161" t="e">
        <f>#REF!</f>
        <v>#REF!</v>
      </c>
      <c r="F98" s="161" t="e">
        <f>#REF!</f>
        <v>#REF!</v>
      </c>
      <c r="G98" s="161" t="e">
        <f>#REF!</f>
        <v>#REF!</v>
      </c>
      <c r="H98" s="161" t="e">
        <f>#REF!</f>
        <v>#REF!</v>
      </c>
    </row>
    <row r="99" spans="1:8" x14ac:dyDescent="0.3">
      <c r="A99" s="161" t="e">
        <f>#REF!</f>
        <v>#REF!</v>
      </c>
      <c r="B99" s="161" t="e">
        <f>#REF!</f>
        <v>#REF!</v>
      </c>
      <c r="C99" s="161" t="e">
        <f>#REF!</f>
        <v>#REF!</v>
      </c>
      <c r="D99" s="161" t="e">
        <f>#REF!</f>
        <v>#REF!</v>
      </c>
      <c r="E99" s="161" t="e">
        <f>#REF!</f>
        <v>#REF!</v>
      </c>
      <c r="F99" s="161" t="e">
        <f>#REF!</f>
        <v>#REF!</v>
      </c>
      <c r="G99" s="161" t="e">
        <f>#REF!</f>
        <v>#REF!</v>
      </c>
      <c r="H99" s="161" t="e">
        <f>#REF!</f>
        <v>#REF!</v>
      </c>
    </row>
    <row r="100" spans="1:8" x14ac:dyDescent="0.3">
      <c r="A100" s="161" t="e">
        <f>#REF!</f>
        <v>#REF!</v>
      </c>
      <c r="B100" s="161" t="e">
        <f>#REF!</f>
        <v>#REF!</v>
      </c>
      <c r="C100" s="161" t="e">
        <f>#REF!</f>
        <v>#REF!</v>
      </c>
      <c r="D100" s="161" t="e">
        <f>#REF!</f>
        <v>#REF!</v>
      </c>
      <c r="E100" s="161" t="e">
        <f>#REF!</f>
        <v>#REF!</v>
      </c>
      <c r="F100" s="161" t="e">
        <f>#REF!</f>
        <v>#REF!</v>
      </c>
      <c r="G100" s="161" t="e">
        <f>#REF!</f>
        <v>#REF!</v>
      </c>
      <c r="H100" s="161" t="e">
        <f>#REF!</f>
        <v>#REF!</v>
      </c>
    </row>
    <row r="101" spans="1:8" x14ac:dyDescent="0.3">
      <c r="A101" s="161" t="e">
        <f>#REF!</f>
        <v>#REF!</v>
      </c>
      <c r="B101" s="161" t="e">
        <f>#REF!</f>
        <v>#REF!</v>
      </c>
      <c r="C101" s="161" t="e">
        <f>#REF!</f>
        <v>#REF!</v>
      </c>
      <c r="D101" s="161" t="e">
        <f>#REF!</f>
        <v>#REF!</v>
      </c>
      <c r="E101" s="161" t="e">
        <f>#REF!</f>
        <v>#REF!</v>
      </c>
      <c r="F101" s="161" t="e">
        <f>#REF!</f>
        <v>#REF!</v>
      </c>
      <c r="G101" s="161" t="e">
        <f>#REF!</f>
        <v>#REF!</v>
      </c>
      <c r="H101" s="161" t="e">
        <f>#REF!</f>
        <v>#REF!</v>
      </c>
    </row>
    <row r="102" spans="1:8" x14ac:dyDescent="0.3">
      <c r="A102" s="161" t="e">
        <f>#REF!</f>
        <v>#REF!</v>
      </c>
      <c r="B102" s="161" t="e">
        <f>#REF!</f>
        <v>#REF!</v>
      </c>
      <c r="C102" s="161" t="e">
        <f>#REF!</f>
        <v>#REF!</v>
      </c>
      <c r="D102" s="161" t="e">
        <f>#REF!</f>
        <v>#REF!</v>
      </c>
      <c r="E102" s="161" t="e">
        <f>#REF!</f>
        <v>#REF!</v>
      </c>
      <c r="F102" s="161" t="e">
        <f>#REF!</f>
        <v>#REF!</v>
      </c>
      <c r="G102" s="161" t="e">
        <f>#REF!</f>
        <v>#REF!</v>
      </c>
      <c r="H102" s="161" t="e">
        <f>#REF!</f>
        <v>#REF!</v>
      </c>
    </row>
    <row r="103" spans="1:8" x14ac:dyDescent="0.3">
      <c r="A103" s="161" t="e">
        <f>#REF!</f>
        <v>#REF!</v>
      </c>
      <c r="B103" s="161" t="e">
        <f>#REF!</f>
        <v>#REF!</v>
      </c>
      <c r="C103" s="161" t="e">
        <f>#REF!</f>
        <v>#REF!</v>
      </c>
      <c r="D103" s="161" t="e">
        <f>#REF!</f>
        <v>#REF!</v>
      </c>
      <c r="E103" s="161" t="e">
        <f>#REF!</f>
        <v>#REF!</v>
      </c>
      <c r="F103" s="161" t="e">
        <f>#REF!</f>
        <v>#REF!</v>
      </c>
      <c r="G103" s="161" t="e">
        <f>#REF!</f>
        <v>#REF!</v>
      </c>
      <c r="H103" s="161" t="e">
        <f>#REF!</f>
        <v>#REF!</v>
      </c>
    </row>
    <row r="104" spans="1:8" x14ac:dyDescent="0.3">
      <c r="A104" s="161" t="e">
        <f>#REF!</f>
        <v>#REF!</v>
      </c>
      <c r="B104" s="161" t="e">
        <f>#REF!</f>
        <v>#REF!</v>
      </c>
      <c r="C104" s="161" t="e">
        <f>#REF!</f>
        <v>#REF!</v>
      </c>
      <c r="D104" s="161" t="e">
        <f>#REF!</f>
        <v>#REF!</v>
      </c>
      <c r="E104" s="161" t="e">
        <f>#REF!</f>
        <v>#REF!</v>
      </c>
      <c r="F104" s="161" t="e">
        <f>#REF!</f>
        <v>#REF!</v>
      </c>
      <c r="G104" s="161" t="e">
        <f>#REF!</f>
        <v>#REF!</v>
      </c>
      <c r="H104" s="161" t="e">
        <f>#REF!</f>
        <v>#REF!</v>
      </c>
    </row>
    <row r="105" spans="1:8" x14ac:dyDescent="0.3">
      <c r="A105" s="161" t="e">
        <f>#REF!</f>
        <v>#REF!</v>
      </c>
      <c r="B105" s="161" t="e">
        <f>#REF!</f>
        <v>#REF!</v>
      </c>
      <c r="C105" s="161" t="e">
        <f>#REF!</f>
        <v>#REF!</v>
      </c>
      <c r="D105" s="161" t="e">
        <f>#REF!</f>
        <v>#REF!</v>
      </c>
      <c r="E105" s="161" t="e">
        <f>#REF!</f>
        <v>#REF!</v>
      </c>
      <c r="F105" s="161" t="e">
        <f>#REF!</f>
        <v>#REF!</v>
      </c>
      <c r="G105" s="161" t="e">
        <f>#REF!</f>
        <v>#REF!</v>
      </c>
      <c r="H105" s="161" t="e">
        <f>#REF!</f>
        <v>#REF!</v>
      </c>
    </row>
    <row r="106" spans="1:8" x14ac:dyDescent="0.3">
      <c r="A106" s="161" t="e">
        <f>#REF!</f>
        <v>#REF!</v>
      </c>
      <c r="B106" s="161" t="e">
        <f>#REF!</f>
        <v>#REF!</v>
      </c>
      <c r="C106" s="161" t="e">
        <f>#REF!</f>
        <v>#REF!</v>
      </c>
      <c r="D106" s="161" t="e">
        <f>#REF!</f>
        <v>#REF!</v>
      </c>
      <c r="E106" s="161" t="e">
        <f>#REF!</f>
        <v>#REF!</v>
      </c>
      <c r="F106" s="161" t="e">
        <f>#REF!</f>
        <v>#REF!</v>
      </c>
      <c r="G106" s="161" t="e">
        <f>#REF!</f>
        <v>#REF!</v>
      </c>
      <c r="H106" s="161" t="e">
        <f>#REF!</f>
        <v>#REF!</v>
      </c>
    </row>
    <row r="107" spans="1:8" x14ac:dyDescent="0.3">
      <c r="A107" s="161" t="e">
        <f>#REF!</f>
        <v>#REF!</v>
      </c>
      <c r="B107" s="161" t="e">
        <f>#REF!</f>
        <v>#REF!</v>
      </c>
      <c r="C107" s="161" t="e">
        <f>#REF!</f>
        <v>#REF!</v>
      </c>
      <c r="D107" s="161" t="e">
        <f>#REF!</f>
        <v>#REF!</v>
      </c>
      <c r="E107" s="161" t="e">
        <f>#REF!</f>
        <v>#REF!</v>
      </c>
      <c r="F107" s="161" t="e">
        <f>#REF!</f>
        <v>#REF!</v>
      </c>
      <c r="G107" s="161" t="e">
        <f>#REF!</f>
        <v>#REF!</v>
      </c>
      <c r="H107" s="161" t="e">
        <f>#REF!</f>
        <v>#REF!</v>
      </c>
    </row>
    <row r="108" spans="1:8" x14ac:dyDescent="0.3">
      <c r="A108" s="161" t="e">
        <f>#REF!</f>
        <v>#REF!</v>
      </c>
      <c r="B108" s="161" t="e">
        <f>#REF!</f>
        <v>#REF!</v>
      </c>
      <c r="C108" s="161" t="e">
        <f>#REF!</f>
        <v>#REF!</v>
      </c>
      <c r="D108" s="161" t="e">
        <f>#REF!</f>
        <v>#REF!</v>
      </c>
      <c r="E108" s="161" t="e">
        <f>#REF!</f>
        <v>#REF!</v>
      </c>
      <c r="F108" s="161" t="e">
        <f>#REF!</f>
        <v>#REF!</v>
      </c>
      <c r="G108" s="161" t="e">
        <f>#REF!</f>
        <v>#REF!</v>
      </c>
      <c r="H108" s="161" t="e">
        <f>#REF!</f>
        <v>#REF!</v>
      </c>
    </row>
    <row r="109" spans="1:8" x14ac:dyDescent="0.3">
      <c r="A109" s="161" t="e">
        <f>#REF!</f>
        <v>#REF!</v>
      </c>
      <c r="B109" s="161" t="e">
        <f>#REF!</f>
        <v>#REF!</v>
      </c>
      <c r="C109" s="161" t="e">
        <f>#REF!</f>
        <v>#REF!</v>
      </c>
      <c r="D109" s="161" t="e">
        <f>#REF!</f>
        <v>#REF!</v>
      </c>
      <c r="E109" s="161" t="e">
        <f>#REF!</f>
        <v>#REF!</v>
      </c>
      <c r="F109" s="161" t="e">
        <f>#REF!</f>
        <v>#REF!</v>
      </c>
      <c r="G109" s="161" t="e">
        <f>#REF!</f>
        <v>#REF!</v>
      </c>
      <c r="H109" s="161" t="e">
        <f>#REF!</f>
        <v>#REF!</v>
      </c>
    </row>
    <row r="110" spans="1:8" x14ac:dyDescent="0.3">
      <c r="A110" s="161" t="e">
        <f>#REF!</f>
        <v>#REF!</v>
      </c>
      <c r="B110" s="161" t="e">
        <f>#REF!</f>
        <v>#REF!</v>
      </c>
      <c r="C110" s="161" t="e">
        <f>#REF!</f>
        <v>#REF!</v>
      </c>
      <c r="D110" s="161" t="e">
        <f>#REF!</f>
        <v>#REF!</v>
      </c>
      <c r="E110" s="161" t="e">
        <f>#REF!</f>
        <v>#REF!</v>
      </c>
      <c r="F110" s="161" t="e">
        <f>#REF!</f>
        <v>#REF!</v>
      </c>
      <c r="G110" s="161" t="e">
        <f>#REF!</f>
        <v>#REF!</v>
      </c>
      <c r="H110" s="161" t="e">
        <f>#REF!</f>
        <v>#REF!</v>
      </c>
    </row>
    <row r="111" spans="1:8" x14ac:dyDescent="0.3">
      <c r="A111" s="161" t="e">
        <f>#REF!</f>
        <v>#REF!</v>
      </c>
      <c r="B111" s="161" t="e">
        <f>#REF!</f>
        <v>#REF!</v>
      </c>
      <c r="C111" s="161" t="e">
        <f>#REF!</f>
        <v>#REF!</v>
      </c>
      <c r="D111" s="161" t="e">
        <f>#REF!</f>
        <v>#REF!</v>
      </c>
      <c r="E111" s="161" t="e">
        <f>#REF!</f>
        <v>#REF!</v>
      </c>
      <c r="F111" s="161" t="e">
        <f>#REF!</f>
        <v>#REF!</v>
      </c>
      <c r="G111" s="161" t="e">
        <f>#REF!</f>
        <v>#REF!</v>
      </c>
      <c r="H111" s="161" t="e">
        <f>#REF!</f>
        <v>#REF!</v>
      </c>
    </row>
    <row r="112" spans="1:8" x14ac:dyDescent="0.3">
      <c r="A112" s="161" t="e">
        <f>#REF!</f>
        <v>#REF!</v>
      </c>
      <c r="B112" s="161" t="e">
        <f>#REF!</f>
        <v>#REF!</v>
      </c>
      <c r="C112" s="161" t="e">
        <f>#REF!</f>
        <v>#REF!</v>
      </c>
      <c r="D112" s="161" t="e">
        <f>#REF!</f>
        <v>#REF!</v>
      </c>
      <c r="E112" s="161" t="e">
        <f>#REF!</f>
        <v>#REF!</v>
      </c>
      <c r="F112" s="161" t="e">
        <f>#REF!</f>
        <v>#REF!</v>
      </c>
      <c r="G112" s="161" t="e">
        <f>#REF!</f>
        <v>#REF!</v>
      </c>
      <c r="H112" s="161" t="e">
        <f>#REF!</f>
        <v>#REF!</v>
      </c>
    </row>
    <row r="113" spans="1:8" x14ac:dyDescent="0.3">
      <c r="A113" s="161" t="e">
        <f>#REF!</f>
        <v>#REF!</v>
      </c>
      <c r="B113" s="161" t="e">
        <f>#REF!</f>
        <v>#REF!</v>
      </c>
      <c r="C113" s="161" t="e">
        <f>#REF!</f>
        <v>#REF!</v>
      </c>
      <c r="D113" s="161" t="e">
        <f>#REF!</f>
        <v>#REF!</v>
      </c>
      <c r="E113" s="161" t="e">
        <f>#REF!</f>
        <v>#REF!</v>
      </c>
      <c r="F113" s="161" t="e">
        <f>#REF!</f>
        <v>#REF!</v>
      </c>
      <c r="G113" s="161" t="e">
        <f>#REF!</f>
        <v>#REF!</v>
      </c>
      <c r="H113" s="161" t="e">
        <f>#REF!</f>
        <v>#REF!</v>
      </c>
    </row>
    <row r="114" spans="1:8" x14ac:dyDescent="0.3">
      <c r="A114" s="161" t="e">
        <f>#REF!</f>
        <v>#REF!</v>
      </c>
      <c r="B114" s="161" t="e">
        <f>#REF!</f>
        <v>#REF!</v>
      </c>
      <c r="C114" s="161" t="e">
        <f>#REF!</f>
        <v>#REF!</v>
      </c>
      <c r="D114" s="161" t="e">
        <f>#REF!</f>
        <v>#REF!</v>
      </c>
      <c r="E114" s="161" t="e">
        <f>#REF!</f>
        <v>#REF!</v>
      </c>
      <c r="F114" s="161" t="e">
        <f>#REF!</f>
        <v>#REF!</v>
      </c>
      <c r="G114" s="161" t="e">
        <f>#REF!</f>
        <v>#REF!</v>
      </c>
      <c r="H114" s="161" t="e">
        <f>#REF!</f>
        <v>#REF!</v>
      </c>
    </row>
    <row r="115" spans="1:8" x14ac:dyDescent="0.3">
      <c r="A115" s="161" t="e">
        <f>#REF!</f>
        <v>#REF!</v>
      </c>
      <c r="B115" s="161" t="e">
        <f>#REF!</f>
        <v>#REF!</v>
      </c>
      <c r="C115" s="161" t="e">
        <f>#REF!</f>
        <v>#REF!</v>
      </c>
      <c r="D115" s="161" t="e">
        <f>#REF!</f>
        <v>#REF!</v>
      </c>
      <c r="E115" s="161" t="e">
        <f>#REF!</f>
        <v>#REF!</v>
      </c>
      <c r="F115" s="161" t="e">
        <f>#REF!</f>
        <v>#REF!</v>
      </c>
      <c r="G115" s="161" t="e">
        <f>#REF!</f>
        <v>#REF!</v>
      </c>
      <c r="H115" s="161" t="e">
        <f>#REF!</f>
        <v>#REF!</v>
      </c>
    </row>
    <row r="116" spans="1:8" x14ac:dyDescent="0.3">
      <c r="A116" s="161" t="e">
        <f>#REF!</f>
        <v>#REF!</v>
      </c>
      <c r="B116" s="161" t="e">
        <f>#REF!</f>
        <v>#REF!</v>
      </c>
      <c r="C116" s="161" t="e">
        <f>#REF!</f>
        <v>#REF!</v>
      </c>
      <c r="D116" s="161" t="e">
        <f>#REF!</f>
        <v>#REF!</v>
      </c>
      <c r="E116" s="161" t="e">
        <f>#REF!</f>
        <v>#REF!</v>
      </c>
      <c r="F116" s="161" t="e">
        <f>#REF!</f>
        <v>#REF!</v>
      </c>
      <c r="G116" s="161" t="e">
        <f>#REF!</f>
        <v>#REF!</v>
      </c>
      <c r="H116" s="161" t="e">
        <f>#REF!</f>
        <v>#REF!</v>
      </c>
    </row>
    <row r="117" spans="1:8" x14ac:dyDescent="0.3">
      <c r="A117" s="161" t="e">
        <f>#REF!</f>
        <v>#REF!</v>
      </c>
      <c r="B117" s="161" t="e">
        <f>#REF!</f>
        <v>#REF!</v>
      </c>
      <c r="C117" s="161" t="e">
        <f>#REF!</f>
        <v>#REF!</v>
      </c>
      <c r="D117" s="161" t="e">
        <f>#REF!</f>
        <v>#REF!</v>
      </c>
      <c r="E117" s="161" t="e">
        <f>#REF!</f>
        <v>#REF!</v>
      </c>
      <c r="F117" s="161" t="e">
        <f>#REF!</f>
        <v>#REF!</v>
      </c>
      <c r="G117" s="161" t="e">
        <f>#REF!</f>
        <v>#REF!</v>
      </c>
      <c r="H117" s="161" t="e">
        <f>#REF!</f>
        <v>#REF!</v>
      </c>
    </row>
    <row r="118" spans="1:8" x14ac:dyDescent="0.3">
      <c r="A118" s="161" t="e">
        <f>#REF!</f>
        <v>#REF!</v>
      </c>
      <c r="B118" s="161" t="e">
        <f>#REF!</f>
        <v>#REF!</v>
      </c>
      <c r="C118" s="161" t="e">
        <f>#REF!</f>
        <v>#REF!</v>
      </c>
      <c r="D118" s="161" t="e">
        <f>#REF!</f>
        <v>#REF!</v>
      </c>
      <c r="E118" s="161" t="e">
        <f>#REF!</f>
        <v>#REF!</v>
      </c>
      <c r="F118" s="161" t="e">
        <f>#REF!</f>
        <v>#REF!</v>
      </c>
      <c r="G118" s="161" t="e">
        <f>#REF!</f>
        <v>#REF!</v>
      </c>
      <c r="H118" s="161" t="e">
        <f>#REF!</f>
        <v>#REF!</v>
      </c>
    </row>
    <row r="119" spans="1:8" x14ac:dyDescent="0.3">
      <c r="A119" s="161" t="e">
        <f>#REF!</f>
        <v>#REF!</v>
      </c>
      <c r="B119" s="161" t="e">
        <f>#REF!</f>
        <v>#REF!</v>
      </c>
      <c r="C119" s="161" t="e">
        <f>#REF!</f>
        <v>#REF!</v>
      </c>
      <c r="D119" s="161" t="e">
        <f>#REF!</f>
        <v>#REF!</v>
      </c>
      <c r="E119" s="161" t="e">
        <f>#REF!</f>
        <v>#REF!</v>
      </c>
      <c r="F119" s="161" t="e">
        <f>#REF!</f>
        <v>#REF!</v>
      </c>
      <c r="G119" s="161" t="e">
        <f>#REF!</f>
        <v>#REF!</v>
      </c>
      <c r="H119" s="161" t="e">
        <f>#REF!</f>
        <v>#REF!</v>
      </c>
    </row>
    <row r="120" spans="1:8" x14ac:dyDescent="0.3">
      <c r="A120" s="161" t="e">
        <f>#REF!</f>
        <v>#REF!</v>
      </c>
      <c r="B120" s="161" t="e">
        <f>#REF!</f>
        <v>#REF!</v>
      </c>
      <c r="C120" s="161" t="e">
        <f>#REF!</f>
        <v>#REF!</v>
      </c>
      <c r="D120" s="161" t="e">
        <f>#REF!</f>
        <v>#REF!</v>
      </c>
      <c r="E120" s="161" t="e">
        <f>#REF!</f>
        <v>#REF!</v>
      </c>
      <c r="F120" s="161" t="e">
        <f>#REF!</f>
        <v>#REF!</v>
      </c>
      <c r="G120" s="161" t="e">
        <f>#REF!</f>
        <v>#REF!</v>
      </c>
      <c r="H120" s="161" t="e">
        <f>#REF!</f>
        <v>#REF!</v>
      </c>
    </row>
    <row r="121" spans="1:8" x14ac:dyDescent="0.3">
      <c r="A121" s="161" t="e">
        <f>#REF!</f>
        <v>#REF!</v>
      </c>
      <c r="B121" s="161" t="e">
        <f>#REF!</f>
        <v>#REF!</v>
      </c>
      <c r="C121" s="161" t="e">
        <f>#REF!</f>
        <v>#REF!</v>
      </c>
      <c r="D121" s="161" t="e">
        <f>#REF!</f>
        <v>#REF!</v>
      </c>
      <c r="E121" s="161" t="e">
        <f>#REF!</f>
        <v>#REF!</v>
      </c>
      <c r="F121" s="161" t="e">
        <f>#REF!</f>
        <v>#REF!</v>
      </c>
      <c r="G121" s="161" t="e">
        <f>#REF!</f>
        <v>#REF!</v>
      </c>
      <c r="H121" s="161" t="e">
        <f>#REF!</f>
        <v>#REF!</v>
      </c>
    </row>
    <row r="122" spans="1:8" x14ac:dyDescent="0.3">
      <c r="A122" s="161" t="e">
        <f>#REF!</f>
        <v>#REF!</v>
      </c>
      <c r="B122" s="161" t="e">
        <f>#REF!</f>
        <v>#REF!</v>
      </c>
      <c r="C122" s="161" t="e">
        <f>#REF!</f>
        <v>#REF!</v>
      </c>
      <c r="D122" s="161" t="e">
        <f>#REF!</f>
        <v>#REF!</v>
      </c>
      <c r="E122" s="161" t="e">
        <f>#REF!</f>
        <v>#REF!</v>
      </c>
      <c r="F122" s="161" t="e">
        <f>#REF!</f>
        <v>#REF!</v>
      </c>
      <c r="G122" s="161" t="e">
        <f>#REF!</f>
        <v>#REF!</v>
      </c>
      <c r="H122" s="161" t="e">
        <f>#REF!</f>
        <v>#REF!</v>
      </c>
    </row>
    <row r="123" spans="1:8" x14ac:dyDescent="0.3">
      <c r="A123" s="161" t="e">
        <f>#REF!</f>
        <v>#REF!</v>
      </c>
      <c r="B123" s="161" t="e">
        <f>#REF!</f>
        <v>#REF!</v>
      </c>
      <c r="C123" s="161" t="e">
        <f>#REF!</f>
        <v>#REF!</v>
      </c>
      <c r="D123" s="161" t="e">
        <f>#REF!</f>
        <v>#REF!</v>
      </c>
      <c r="E123" s="161" t="e">
        <f>#REF!</f>
        <v>#REF!</v>
      </c>
      <c r="F123" s="161" t="e">
        <f>#REF!</f>
        <v>#REF!</v>
      </c>
      <c r="G123" s="161" t="e">
        <f>#REF!</f>
        <v>#REF!</v>
      </c>
      <c r="H123" s="161" t="e">
        <f>#REF!</f>
        <v>#REF!</v>
      </c>
    </row>
    <row r="124" spans="1:8" x14ac:dyDescent="0.3">
      <c r="A124" s="161" t="e">
        <f>#REF!</f>
        <v>#REF!</v>
      </c>
      <c r="B124" s="161" t="e">
        <f>#REF!</f>
        <v>#REF!</v>
      </c>
      <c r="C124" s="161" t="e">
        <f>#REF!</f>
        <v>#REF!</v>
      </c>
      <c r="D124" s="161" t="e">
        <f>#REF!</f>
        <v>#REF!</v>
      </c>
      <c r="E124" s="161" t="e">
        <f>#REF!</f>
        <v>#REF!</v>
      </c>
      <c r="F124" s="161" t="e">
        <f>#REF!</f>
        <v>#REF!</v>
      </c>
      <c r="G124" s="161" t="e">
        <f>#REF!</f>
        <v>#REF!</v>
      </c>
      <c r="H124" s="161" t="e">
        <f>#REF!</f>
        <v>#REF!</v>
      </c>
    </row>
    <row r="125" spans="1:8" x14ac:dyDescent="0.3">
      <c r="A125" s="161" t="e">
        <f>#REF!</f>
        <v>#REF!</v>
      </c>
      <c r="B125" s="161" t="e">
        <f>#REF!</f>
        <v>#REF!</v>
      </c>
      <c r="C125" s="161" t="e">
        <f>#REF!</f>
        <v>#REF!</v>
      </c>
      <c r="D125" s="161" t="e">
        <f>#REF!</f>
        <v>#REF!</v>
      </c>
      <c r="E125" s="161" t="e">
        <f>#REF!</f>
        <v>#REF!</v>
      </c>
      <c r="F125" s="161" t="e">
        <f>#REF!</f>
        <v>#REF!</v>
      </c>
      <c r="G125" s="161" t="e">
        <f>#REF!</f>
        <v>#REF!</v>
      </c>
      <c r="H125" s="161" t="e">
        <f>#REF!</f>
        <v>#REF!</v>
      </c>
    </row>
    <row r="126" spans="1:8" x14ac:dyDescent="0.3">
      <c r="A126" s="161" t="e">
        <f>#REF!</f>
        <v>#REF!</v>
      </c>
      <c r="B126" s="161" t="e">
        <f>#REF!</f>
        <v>#REF!</v>
      </c>
      <c r="C126" s="161" t="e">
        <f>#REF!</f>
        <v>#REF!</v>
      </c>
      <c r="D126" s="161" t="e">
        <f>#REF!</f>
        <v>#REF!</v>
      </c>
      <c r="E126" s="161" t="e">
        <f>#REF!</f>
        <v>#REF!</v>
      </c>
      <c r="F126" s="161" t="e">
        <f>#REF!</f>
        <v>#REF!</v>
      </c>
      <c r="G126" s="161" t="e">
        <f>#REF!</f>
        <v>#REF!</v>
      </c>
      <c r="H126" s="161" t="e">
        <f>#REF!</f>
        <v>#REF!</v>
      </c>
    </row>
    <row r="127" spans="1:8" x14ac:dyDescent="0.3">
      <c r="A127" s="161" t="e">
        <f>#REF!</f>
        <v>#REF!</v>
      </c>
      <c r="B127" s="161" t="e">
        <f>#REF!</f>
        <v>#REF!</v>
      </c>
      <c r="C127" s="161" t="e">
        <f>#REF!</f>
        <v>#REF!</v>
      </c>
      <c r="D127" s="161" t="e">
        <f>#REF!</f>
        <v>#REF!</v>
      </c>
      <c r="E127" s="161" t="e">
        <f>#REF!</f>
        <v>#REF!</v>
      </c>
      <c r="F127" s="161" t="e">
        <f>#REF!</f>
        <v>#REF!</v>
      </c>
      <c r="G127" s="161" t="e">
        <f>#REF!</f>
        <v>#REF!</v>
      </c>
      <c r="H127" s="161" t="e">
        <f>#REF!</f>
        <v>#REF!</v>
      </c>
    </row>
    <row r="128" spans="1:8" x14ac:dyDescent="0.3">
      <c r="A128" s="161" t="e">
        <f>#REF!</f>
        <v>#REF!</v>
      </c>
      <c r="B128" s="161" t="e">
        <f>#REF!</f>
        <v>#REF!</v>
      </c>
      <c r="C128" s="161" t="e">
        <f>#REF!</f>
        <v>#REF!</v>
      </c>
      <c r="D128" s="161" t="e">
        <f>#REF!</f>
        <v>#REF!</v>
      </c>
      <c r="E128" s="161" t="e">
        <f>#REF!</f>
        <v>#REF!</v>
      </c>
      <c r="F128" s="161" t="e">
        <f>#REF!</f>
        <v>#REF!</v>
      </c>
      <c r="G128" s="161" t="e">
        <f>#REF!</f>
        <v>#REF!</v>
      </c>
      <c r="H128" s="161" t="e">
        <f>#REF!</f>
        <v>#REF!</v>
      </c>
    </row>
    <row r="129" spans="1:8" x14ac:dyDescent="0.3">
      <c r="A129" s="161" t="e">
        <f>#REF!</f>
        <v>#REF!</v>
      </c>
      <c r="B129" s="161" t="e">
        <f>#REF!</f>
        <v>#REF!</v>
      </c>
      <c r="C129" s="161" t="e">
        <f>#REF!</f>
        <v>#REF!</v>
      </c>
      <c r="D129" s="161" t="e">
        <f>#REF!</f>
        <v>#REF!</v>
      </c>
      <c r="E129" s="161" t="e">
        <f>#REF!</f>
        <v>#REF!</v>
      </c>
      <c r="F129" s="161" t="e">
        <f>#REF!</f>
        <v>#REF!</v>
      </c>
      <c r="G129" s="161" t="e">
        <f>#REF!</f>
        <v>#REF!</v>
      </c>
      <c r="H129" s="161" t="e">
        <f>#REF!</f>
        <v>#REF!</v>
      </c>
    </row>
    <row r="130" spans="1:8" x14ac:dyDescent="0.3">
      <c r="A130" s="161" t="e">
        <f>#REF!</f>
        <v>#REF!</v>
      </c>
      <c r="B130" s="161" t="e">
        <f>#REF!</f>
        <v>#REF!</v>
      </c>
      <c r="C130" s="161" t="e">
        <f>#REF!</f>
        <v>#REF!</v>
      </c>
      <c r="D130" s="161" t="e">
        <f>#REF!</f>
        <v>#REF!</v>
      </c>
      <c r="E130" s="161" t="e">
        <f>#REF!</f>
        <v>#REF!</v>
      </c>
      <c r="F130" s="161" t="e">
        <f>#REF!</f>
        <v>#REF!</v>
      </c>
      <c r="G130" s="161" t="e">
        <f>#REF!</f>
        <v>#REF!</v>
      </c>
      <c r="H130" s="161" t="e">
        <f>#REF!</f>
        <v>#REF!</v>
      </c>
    </row>
    <row r="131" spans="1:8" x14ac:dyDescent="0.3">
      <c r="A131" s="161" t="e">
        <f>#REF!</f>
        <v>#REF!</v>
      </c>
      <c r="B131" s="161" t="e">
        <f>#REF!</f>
        <v>#REF!</v>
      </c>
      <c r="C131" s="161" t="e">
        <f>#REF!</f>
        <v>#REF!</v>
      </c>
      <c r="D131" s="161" t="e">
        <f>#REF!</f>
        <v>#REF!</v>
      </c>
      <c r="E131" s="161" t="e">
        <f>#REF!</f>
        <v>#REF!</v>
      </c>
      <c r="F131" s="161" t="e">
        <f>#REF!</f>
        <v>#REF!</v>
      </c>
      <c r="G131" s="161" t="e">
        <f>#REF!</f>
        <v>#REF!</v>
      </c>
      <c r="H131" s="161" t="e">
        <f>#REF!</f>
        <v>#REF!</v>
      </c>
    </row>
    <row r="132" spans="1:8" x14ac:dyDescent="0.3">
      <c r="A132" s="161" t="e">
        <f>#REF!</f>
        <v>#REF!</v>
      </c>
      <c r="B132" s="161" t="e">
        <f>#REF!</f>
        <v>#REF!</v>
      </c>
      <c r="C132" s="161" t="e">
        <f>#REF!</f>
        <v>#REF!</v>
      </c>
      <c r="D132" s="161" t="e">
        <f>#REF!</f>
        <v>#REF!</v>
      </c>
      <c r="E132" s="161" t="e">
        <f>#REF!</f>
        <v>#REF!</v>
      </c>
      <c r="F132" s="161" t="e">
        <f>#REF!</f>
        <v>#REF!</v>
      </c>
      <c r="G132" s="161" t="e">
        <f>#REF!</f>
        <v>#REF!</v>
      </c>
      <c r="H132" s="161" t="e">
        <f>#REF!</f>
        <v>#REF!</v>
      </c>
    </row>
    <row r="133" spans="1:8" x14ac:dyDescent="0.3">
      <c r="A133" s="161" t="e">
        <f>#REF!</f>
        <v>#REF!</v>
      </c>
      <c r="B133" s="161" t="e">
        <f>#REF!</f>
        <v>#REF!</v>
      </c>
      <c r="C133" s="161" t="e">
        <f>#REF!</f>
        <v>#REF!</v>
      </c>
      <c r="D133" s="161" t="e">
        <f>#REF!</f>
        <v>#REF!</v>
      </c>
      <c r="E133" s="161" t="e">
        <f>#REF!</f>
        <v>#REF!</v>
      </c>
      <c r="F133" s="161" t="e">
        <f>#REF!</f>
        <v>#REF!</v>
      </c>
      <c r="G133" s="161" t="e">
        <f>#REF!</f>
        <v>#REF!</v>
      </c>
      <c r="H133" s="161" t="e">
        <f>#REF!</f>
        <v>#REF!</v>
      </c>
    </row>
    <row r="134" spans="1:8" x14ac:dyDescent="0.3">
      <c r="A134" s="161" t="e">
        <f>#REF!</f>
        <v>#REF!</v>
      </c>
      <c r="B134" s="161" t="e">
        <f>#REF!</f>
        <v>#REF!</v>
      </c>
      <c r="C134" s="161" t="e">
        <f>#REF!</f>
        <v>#REF!</v>
      </c>
      <c r="D134" s="161" t="e">
        <f>#REF!</f>
        <v>#REF!</v>
      </c>
      <c r="E134" s="161" t="e">
        <f>#REF!</f>
        <v>#REF!</v>
      </c>
      <c r="F134" s="161" t="e">
        <f>#REF!</f>
        <v>#REF!</v>
      </c>
      <c r="G134" s="161" t="e">
        <f>#REF!</f>
        <v>#REF!</v>
      </c>
      <c r="H134" s="161" t="e">
        <f>#REF!</f>
        <v>#REF!</v>
      </c>
    </row>
    <row r="135" spans="1:8" x14ac:dyDescent="0.3">
      <c r="A135" s="161" t="e">
        <f>#REF!</f>
        <v>#REF!</v>
      </c>
      <c r="B135" s="161" t="e">
        <f>#REF!</f>
        <v>#REF!</v>
      </c>
      <c r="C135" s="161" t="e">
        <f>#REF!</f>
        <v>#REF!</v>
      </c>
      <c r="D135" s="161" t="e">
        <f>#REF!</f>
        <v>#REF!</v>
      </c>
      <c r="E135" s="161" t="e">
        <f>#REF!</f>
        <v>#REF!</v>
      </c>
      <c r="F135" s="161" t="e">
        <f>#REF!</f>
        <v>#REF!</v>
      </c>
      <c r="G135" s="161" t="e">
        <f>#REF!</f>
        <v>#REF!</v>
      </c>
      <c r="H135" s="161" t="e">
        <f>#REF!</f>
        <v>#REF!</v>
      </c>
    </row>
    <row r="136" spans="1:8" x14ac:dyDescent="0.3">
      <c r="A136" s="161" t="e">
        <f>#REF!</f>
        <v>#REF!</v>
      </c>
      <c r="B136" s="161" t="e">
        <f>#REF!</f>
        <v>#REF!</v>
      </c>
      <c r="C136" s="161" t="e">
        <f>#REF!</f>
        <v>#REF!</v>
      </c>
      <c r="D136" s="161" t="e">
        <f>#REF!</f>
        <v>#REF!</v>
      </c>
      <c r="E136" s="161" t="e">
        <f>#REF!</f>
        <v>#REF!</v>
      </c>
      <c r="F136" s="161" t="e">
        <f>#REF!</f>
        <v>#REF!</v>
      </c>
      <c r="G136" s="161" t="e">
        <f>#REF!</f>
        <v>#REF!</v>
      </c>
      <c r="H136" s="161" t="e">
        <f>#REF!</f>
        <v>#REF!</v>
      </c>
    </row>
    <row r="137" spans="1:8" x14ac:dyDescent="0.3">
      <c r="A137" s="161" t="e">
        <f>#REF!</f>
        <v>#REF!</v>
      </c>
      <c r="B137" s="161" t="e">
        <f>#REF!</f>
        <v>#REF!</v>
      </c>
      <c r="C137" s="161" t="e">
        <f>#REF!</f>
        <v>#REF!</v>
      </c>
      <c r="D137" s="161" t="e">
        <f>#REF!</f>
        <v>#REF!</v>
      </c>
      <c r="E137" s="161" t="e">
        <f>#REF!</f>
        <v>#REF!</v>
      </c>
      <c r="F137" s="161" t="e">
        <f>#REF!</f>
        <v>#REF!</v>
      </c>
      <c r="G137" s="161" t="e">
        <f>#REF!</f>
        <v>#REF!</v>
      </c>
      <c r="H137" s="161" t="e">
        <f>#REF!</f>
        <v>#REF!</v>
      </c>
    </row>
    <row r="138" spans="1:8" x14ac:dyDescent="0.3">
      <c r="A138" s="161" t="e">
        <f>#REF!</f>
        <v>#REF!</v>
      </c>
      <c r="B138" s="161" t="e">
        <f>#REF!</f>
        <v>#REF!</v>
      </c>
      <c r="C138" s="161" t="e">
        <f>#REF!</f>
        <v>#REF!</v>
      </c>
      <c r="D138" s="161" t="e">
        <f>#REF!</f>
        <v>#REF!</v>
      </c>
      <c r="E138" s="161" t="e">
        <f>#REF!</f>
        <v>#REF!</v>
      </c>
      <c r="F138" s="161" t="e">
        <f>#REF!</f>
        <v>#REF!</v>
      </c>
      <c r="G138" s="161" t="e">
        <f>#REF!</f>
        <v>#REF!</v>
      </c>
      <c r="H138" s="161" t="e">
        <f>#REF!</f>
        <v>#REF!</v>
      </c>
    </row>
    <row r="139" spans="1:8" x14ac:dyDescent="0.3">
      <c r="A139" s="161" t="e">
        <f>#REF!</f>
        <v>#REF!</v>
      </c>
      <c r="B139" s="161" t="e">
        <f>#REF!</f>
        <v>#REF!</v>
      </c>
      <c r="C139" s="161" t="e">
        <f>#REF!</f>
        <v>#REF!</v>
      </c>
      <c r="D139" s="161" t="e">
        <f>#REF!</f>
        <v>#REF!</v>
      </c>
      <c r="E139" s="161" t="e">
        <f>#REF!</f>
        <v>#REF!</v>
      </c>
      <c r="F139" s="161" t="e">
        <f>#REF!</f>
        <v>#REF!</v>
      </c>
      <c r="G139" s="161" t="e">
        <f>#REF!</f>
        <v>#REF!</v>
      </c>
      <c r="H139" s="161" t="e">
        <f>#REF!</f>
        <v>#REF!</v>
      </c>
    </row>
    <row r="140" spans="1:8" x14ac:dyDescent="0.3">
      <c r="A140" s="161" t="e">
        <f>#REF!</f>
        <v>#REF!</v>
      </c>
      <c r="B140" s="161" t="e">
        <f>#REF!</f>
        <v>#REF!</v>
      </c>
      <c r="C140" s="161" t="e">
        <f>#REF!</f>
        <v>#REF!</v>
      </c>
      <c r="D140" s="161" t="e">
        <f>#REF!</f>
        <v>#REF!</v>
      </c>
      <c r="E140" s="161" t="e">
        <f>#REF!</f>
        <v>#REF!</v>
      </c>
      <c r="F140" s="161" t="e">
        <f>#REF!</f>
        <v>#REF!</v>
      </c>
      <c r="G140" s="161" t="e">
        <f>#REF!</f>
        <v>#REF!</v>
      </c>
      <c r="H140" s="161" t="e">
        <f>#REF!</f>
        <v>#REF!</v>
      </c>
    </row>
    <row r="141" spans="1:8" x14ac:dyDescent="0.3">
      <c r="A141" s="161" t="e">
        <f>#REF!</f>
        <v>#REF!</v>
      </c>
      <c r="B141" s="161" t="e">
        <f>#REF!</f>
        <v>#REF!</v>
      </c>
      <c r="C141" s="161" t="e">
        <f>#REF!</f>
        <v>#REF!</v>
      </c>
      <c r="D141" s="161" t="e">
        <f>#REF!</f>
        <v>#REF!</v>
      </c>
      <c r="E141" s="161" t="e">
        <f>#REF!</f>
        <v>#REF!</v>
      </c>
      <c r="F141" s="161" t="e">
        <f>#REF!</f>
        <v>#REF!</v>
      </c>
      <c r="G141" s="161" t="e">
        <f>#REF!</f>
        <v>#REF!</v>
      </c>
      <c r="H141" s="161" t="e">
        <f>#REF!</f>
        <v>#REF!</v>
      </c>
    </row>
    <row r="142" spans="1:8" x14ac:dyDescent="0.3">
      <c r="A142" s="161" t="e">
        <f>#REF!</f>
        <v>#REF!</v>
      </c>
      <c r="B142" s="161" t="e">
        <f>#REF!</f>
        <v>#REF!</v>
      </c>
      <c r="C142" s="161" t="e">
        <f>#REF!</f>
        <v>#REF!</v>
      </c>
      <c r="D142" s="161" t="e">
        <f>#REF!</f>
        <v>#REF!</v>
      </c>
      <c r="E142" s="161" t="e">
        <f>#REF!</f>
        <v>#REF!</v>
      </c>
      <c r="F142" s="161" t="e">
        <f>#REF!</f>
        <v>#REF!</v>
      </c>
      <c r="G142" s="161" t="e">
        <f>#REF!</f>
        <v>#REF!</v>
      </c>
      <c r="H142" s="161" t="e">
        <f>#REF!</f>
        <v>#REF!</v>
      </c>
    </row>
    <row r="143" spans="1:8" x14ac:dyDescent="0.3">
      <c r="A143" s="161" t="e">
        <f>#REF!</f>
        <v>#REF!</v>
      </c>
      <c r="B143" s="161" t="e">
        <f>#REF!</f>
        <v>#REF!</v>
      </c>
      <c r="C143" s="161" t="e">
        <f>#REF!</f>
        <v>#REF!</v>
      </c>
      <c r="D143" s="161" t="e">
        <f>#REF!</f>
        <v>#REF!</v>
      </c>
      <c r="E143" s="161" t="e">
        <f>#REF!</f>
        <v>#REF!</v>
      </c>
      <c r="F143" s="161" t="e">
        <f>#REF!</f>
        <v>#REF!</v>
      </c>
      <c r="G143" s="161" t="e">
        <f>#REF!</f>
        <v>#REF!</v>
      </c>
      <c r="H143" s="161" t="e">
        <f>#REF!</f>
        <v>#REF!</v>
      </c>
    </row>
    <row r="144" spans="1:8" x14ac:dyDescent="0.3">
      <c r="A144" s="161" t="e">
        <f>#REF!</f>
        <v>#REF!</v>
      </c>
      <c r="B144" s="161" t="e">
        <f>#REF!</f>
        <v>#REF!</v>
      </c>
      <c r="C144" s="161" t="e">
        <f>#REF!</f>
        <v>#REF!</v>
      </c>
      <c r="D144" s="161" t="e">
        <f>#REF!</f>
        <v>#REF!</v>
      </c>
      <c r="E144" s="161" t="e">
        <f>#REF!</f>
        <v>#REF!</v>
      </c>
      <c r="F144" s="161" t="e">
        <f>#REF!</f>
        <v>#REF!</v>
      </c>
      <c r="G144" s="161" t="e">
        <f>#REF!</f>
        <v>#REF!</v>
      </c>
      <c r="H144" s="161" t="e">
        <f>#REF!</f>
        <v>#REF!</v>
      </c>
    </row>
    <row r="145" spans="1:8" x14ac:dyDescent="0.3">
      <c r="A145" s="161" t="e">
        <f>#REF!</f>
        <v>#REF!</v>
      </c>
      <c r="B145" s="161" t="e">
        <f>#REF!</f>
        <v>#REF!</v>
      </c>
      <c r="C145" s="161" t="e">
        <f>#REF!</f>
        <v>#REF!</v>
      </c>
      <c r="D145" s="161" t="e">
        <f>#REF!</f>
        <v>#REF!</v>
      </c>
      <c r="E145" s="161" t="e">
        <f>#REF!</f>
        <v>#REF!</v>
      </c>
      <c r="F145" s="161" t="e">
        <f>#REF!</f>
        <v>#REF!</v>
      </c>
      <c r="G145" s="161" t="e">
        <f>#REF!</f>
        <v>#REF!</v>
      </c>
      <c r="H145" s="161" t="e">
        <f>#REF!</f>
        <v>#REF!</v>
      </c>
    </row>
    <row r="146" spans="1:8" x14ac:dyDescent="0.3">
      <c r="A146" s="161" t="e">
        <f>#REF!</f>
        <v>#REF!</v>
      </c>
      <c r="B146" s="161" t="e">
        <f>#REF!</f>
        <v>#REF!</v>
      </c>
      <c r="C146" s="161" t="e">
        <f>#REF!</f>
        <v>#REF!</v>
      </c>
      <c r="D146" s="161" t="e">
        <f>#REF!</f>
        <v>#REF!</v>
      </c>
      <c r="E146" s="161" t="e">
        <f>#REF!</f>
        <v>#REF!</v>
      </c>
      <c r="F146" s="161" t="e">
        <f>#REF!</f>
        <v>#REF!</v>
      </c>
      <c r="G146" s="161" t="e">
        <f>#REF!</f>
        <v>#REF!</v>
      </c>
      <c r="H146" s="161" t="e">
        <f>#REF!</f>
        <v>#REF!</v>
      </c>
    </row>
    <row r="147" spans="1:8" x14ac:dyDescent="0.3">
      <c r="A147" s="161" t="e">
        <f>#REF!</f>
        <v>#REF!</v>
      </c>
      <c r="B147" s="161" t="e">
        <f>#REF!</f>
        <v>#REF!</v>
      </c>
      <c r="C147" s="161" t="e">
        <f>#REF!</f>
        <v>#REF!</v>
      </c>
      <c r="D147" s="161" t="e">
        <f>#REF!</f>
        <v>#REF!</v>
      </c>
      <c r="E147" s="161" t="e">
        <f>#REF!</f>
        <v>#REF!</v>
      </c>
      <c r="F147" s="161" t="e">
        <f>#REF!</f>
        <v>#REF!</v>
      </c>
      <c r="G147" s="161" t="e">
        <f>#REF!</f>
        <v>#REF!</v>
      </c>
      <c r="H147" s="161" t="e">
        <f>#REF!</f>
        <v>#REF!</v>
      </c>
    </row>
    <row r="148" spans="1:8" x14ac:dyDescent="0.3">
      <c r="A148" s="161" t="e">
        <f>#REF!</f>
        <v>#REF!</v>
      </c>
      <c r="B148" s="161" t="e">
        <f>#REF!</f>
        <v>#REF!</v>
      </c>
      <c r="C148" s="161" t="e">
        <f>#REF!</f>
        <v>#REF!</v>
      </c>
      <c r="D148" s="161" t="e">
        <f>#REF!</f>
        <v>#REF!</v>
      </c>
      <c r="E148" s="161" t="e">
        <f>#REF!</f>
        <v>#REF!</v>
      </c>
      <c r="F148" s="161" t="e">
        <f>#REF!</f>
        <v>#REF!</v>
      </c>
      <c r="G148" s="161" t="e">
        <f>#REF!</f>
        <v>#REF!</v>
      </c>
      <c r="H148" s="161" t="e">
        <f>#REF!</f>
        <v>#REF!</v>
      </c>
    </row>
    <row r="149" spans="1:8" x14ac:dyDescent="0.3">
      <c r="A149" s="161" t="e">
        <f>#REF!</f>
        <v>#REF!</v>
      </c>
      <c r="B149" s="161" t="e">
        <f>#REF!</f>
        <v>#REF!</v>
      </c>
      <c r="C149" s="161" t="e">
        <f>#REF!</f>
        <v>#REF!</v>
      </c>
      <c r="D149" s="161" t="e">
        <f>#REF!</f>
        <v>#REF!</v>
      </c>
      <c r="E149" s="161" t="e">
        <f>#REF!</f>
        <v>#REF!</v>
      </c>
      <c r="F149" s="161" t="e">
        <f>#REF!</f>
        <v>#REF!</v>
      </c>
      <c r="G149" s="161" t="e">
        <f>#REF!</f>
        <v>#REF!</v>
      </c>
      <c r="H149" s="161" t="e">
        <f>#REF!</f>
        <v>#REF!</v>
      </c>
    </row>
    <row r="150" spans="1:8" x14ac:dyDescent="0.3">
      <c r="A150" s="161" t="e">
        <f>#REF!</f>
        <v>#REF!</v>
      </c>
      <c r="B150" s="161" t="e">
        <f>#REF!</f>
        <v>#REF!</v>
      </c>
      <c r="C150" s="161" t="e">
        <f>#REF!</f>
        <v>#REF!</v>
      </c>
      <c r="D150" s="161" t="e">
        <f>#REF!</f>
        <v>#REF!</v>
      </c>
      <c r="E150" s="161" t="e">
        <f>#REF!</f>
        <v>#REF!</v>
      </c>
      <c r="F150" s="161" t="e">
        <f>#REF!</f>
        <v>#REF!</v>
      </c>
      <c r="G150" s="161" t="e">
        <f>#REF!</f>
        <v>#REF!</v>
      </c>
      <c r="H150" s="161" t="e">
        <f>#REF!</f>
        <v>#REF!</v>
      </c>
    </row>
    <row r="151" spans="1:8" x14ac:dyDescent="0.3">
      <c r="A151" s="161" t="e">
        <f>#REF!</f>
        <v>#REF!</v>
      </c>
      <c r="B151" s="161" t="e">
        <f>#REF!</f>
        <v>#REF!</v>
      </c>
      <c r="C151" s="161" t="e">
        <f>#REF!</f>
        <v>#REF!</v>
      </c>
      <c r="D151" s="161" t="e">
        <f>#REF!</f>
        <v>#REF!</v>
      </c>
      <c r="E151" s="161" t="e">
        <f>#REF!</f>
        <v>#REF!</v>
      </c>
      <c r="F151" s="161" t="e">
        <f>#REF!</f>
        <v>#REF!</v>
      </c>
      <c r="G151" s="161" t="e">
        <f>#REF!</f>
        <v>#REF!</v>
      </c>
      <c r="H151" s="161" t="e">
        <f>#REF!</f>
        <v>#REF!</v>
      </c>
    </row>
    <row r="152" spans="1:8" x14ac:dyDescent="0.3">
      <c r="A152" s="161" t="e">
        <f>#REF!</f>
        <v>#REF!</v>
      </c>
      <c r="B152" s="161" t="e">
        <f>#REF!</f>
        <v>#REF!</v>
      </c>
      <c r="C152" s="161" t="e">
        <f>#REF!</f>
        <v>#REF!</v>
      </c>
      <c r="D152" s="161" t="e">
        <f>#REF!</f>
        <v>#REF!</v>
      </c>
      <c r="E152" s="161" t="e">
        <f>#REF!</f>
        <v>#REF!</v>
      </c>
      <c r="F152" s="161" t="e">
        <f>#REF!</f>
        <v>#REF!</v>
      </c>
      <c r="G152" s="161" t="e">
        <f>#REF!</f>
        <v>#REF!</v>
      </c>
      <c r="H152" s="161" t="e">
        <f>#REF!</f>
        <v>#REF!</v>
      </c>
    </row>
    <row r="153" spans="1:8" x14ac:dyDescent="0.3">
      <c r="A153" s="161" t="e">
        <f>#REF!</f>
        <v>#REF!</v>
      </c>
      <c r="B153" s="161" t="e">
        <f>#REF!</f>
        <v>#REF!</v>
      </c>
      <c r="C153" s="161" t="e">
        <f>#REF!</f>
        <v>#REF!</v>
      </c>
      <c r="D153" s="161" t="e">
        <f>#REF!</f>
        <v>#REF!</v>
      </c>
      <c r="E153" s="161" t="e">
        <f>#REF!</f>
        <v>#REF!</v>
      </c>
      <c r="F153" s="161" t="e">
        <f>#REF!</f>
        <v>#REF!</v>
      </c>
      <c r="G153" s="161" t="e">
        <f>#REF!</f>
        <v>#REF!</v>
      </c>
      <c r="H153" s="161" t="e">
        <f>#REF!</f>
        <v>#REF!</v>
      </c>
    </row>
    <row r="154" spans="1:8" x14ac:dyDescent="0.3">
      <c r="A154" s="161" t="e">
        <f>#REF!</f>
        <v>#REF!</v>
      </c>
      <c r="B154" s="161" t="e">
        <f>#REF!</f>
        <v>#REF!</v>
      </c>
      <c r="C154" s="161" t="e">
        <f>#REF!</f>
        <v>#REF!</v>
      </c>
      <c r="D154" s="161" t="e">
        <f>#REF!</f>
        <v>#REF!</v>
      </c>
      <c r="E154" s="161" t="e">
        <f>#REF!</f>
        <v>#REF!</v>
      </c>
      <c r="F154" s="161" t="e">
        <f>#REF!</f>
        <v>#REF!</v>
      </c>
      <c r="G154" s="161" t="e">
        <f>#REF!</f>
        <v>#REF!</v>
      </c>
      <c r="H154" s="161" t="e">
        <f>#REF!</f>
        <v>#REF!</v>
      </c>
    </row>
    <row r="155" spans="1:8" x14ac:dyDescent="0.3">
      <c r="A155" s="161" t="e">
        <f>#REF!</f>
        <v>#REF!</v>
      </c>
      <c r="B155" s="161" t="e">
        <f>#REF!</f>
        <v>#REF!</v>
      </c>
      <c r="C155" s="161" t="e">
        <f>#REF!</f>
        <v>#REF!</v>
      </c>
      <c r="D155" s="161" t="e">
        <f>#REF!</f>
        <v>#REF!</v>
      </c>
      <c r="E155" s="161" t="e">
        <f>#REF!</f>
        <v>#REF!</v>
      </c>
      <c r="F155" s="161" t="e">
        <f>#REF!</f>
        <v>#REF!</v>
      </c>
      <c r="G155" s="161" t="e">
        <f>#REF!</f>
        <v>#REF!</v>
      </c>
      <c r="H155" s="161" t="e">
        <f>#REF!</f>
        <v>#REF!</v>
      </c>
    </row>
    <row r="156" spans="1:8" x14ac:dyDescent="0.3">
      <c r="A156" s="161" t="e">
        <f>#REF!</f>
        <v>#REF!</v>
      </c>
      <c r="B156" s="161" t="e">
        <f>#REF!</f>
        <v>#REF!</v>
      </c>
      <c r="C156" s="161" t="e">
        <f>#REF!</f>
        <v>#REF!</v>
      </c>
      <c r="D156" s="161" t="e">
        <f>#REF!</f>
        <v>#REF!</v>
      </c>
      <c r="E156" s="161" t="e">
        <f>#REF!</f>
        <v>#REF!</v>
      </c>
      <c r="F156" s="161" t="e">
        <f>#REF!</f>
        <v>#REF!</v>
      </c>
      <c r="G156" s="161" t="e">
        <f>#REF!</f>
        <v>#REF!</v>
      </c>
      <c r="H156" s="161" t="e">
        <f>#REF!</f>
        <v>#REF!</v>
      </c>
    </row>
    <row r="157" spans="1:8" x14ac:dyDescent="0.3">
      <c r="A157" s="161" t="e">
        <f>#REF!</f>
        <v>#REF!</v>
      </c>
      <c r="B157" s="161" t="e">
        <f>#REF!</f>
        <v>#REF!</v>
      </c>
      <c r="C157" s="161" t="e">
        <f>#REF!</f>
        <v>#REF!</v>
      </c>
      <c r="D157" s="161" t="e">
        <f>#REF!</f>
        <v>#REF!</v>
      </c>
      <c r="E157" s="161" t="e">
        <f>#REF!</f>
        <v>#REF!</v>
      </c>
      <c r="F157" s="161" t="e">
        <f>#REF!</f>
        <v>#REF!</v>
      </c>
      <c r="G157" s="161" t="e">
        <f>#REF!</f>
        <v>#REF!</v>
      </c>
      <c r="H157" s="161" t="e">
        <f>#REF!</f>
        <v>#REF!</v>
      </c>
    </row>
    <row r="158" spans="1:8" x14ac:dyDescent="0.3">
      <c r="A158" s="161" t="e">
        <f>#REF!</f>
        <v>#REF!</v>
      </c>
      <c r="B158" s="161" t="e">
        <f>#REF!</f>
        <v>#REF!</v>
      </c>
      <c r="C158" s="161" t="e">
        <f>#REF!</f>
        <v>#REF!</v>
      </c>
      <c r="D158" s="161" t="e">
        <f>#REF!</f>
        <v>#REF!</v>
      </c>
      <c r="E158" s="161" t="e">
        <f>#REF!</f>
        <v>#REF!</v>
      </c>
      <c r="F158" s="161" t="e">
        <f>#REF!</f>
        <v>#REF!</v>
      </c>
      <c r="G158" s="161" t="e">
        <f>#REF!</f>
        <v>#REF!</v>
      </c>
      <c r="H158" s="161" t="e">
        <f>#REF!</f>
        <v>#REF!</v>
      </c>
    </row>
    <row r="159" spans="1:8" x14ac:dyDescent="0.3">
      <c r="A159" s="161" t="e">
        <f>#REF!</f>
        <v>#REF!</v>
      </c>
      <c r="B159" s="161" t="e">
        <f>#REF!</f>
        <v>#REF!</v>
      </c>
      <c r="C159" s="161" t="e">
        <f>#REF!</f>
        <v>#REF!</v>
      </c>
      <c r="D159" s="161" t="e">
        <f>#REF!</f>
        <v>#REF!</v>
      </c>
      <c r="E159" s="161" t="e">
        <f>#REF!</f>
        <v>#REF!</v>
      </c>
      <c r="F159" s="161" t="e">
        <f>#REF!</f>
        <v>#REF!</v>
      </c>
      <c r="G159" s="161" t="e">
        <f>#REF!</f>
        <v>#REF!</v>
      </c>
      <c r="H159" s="161" t="e">
        <f>#REF!</f>
        <v>#REF!</v>
      </c>
    </row>
    <row r="160" spans="1:8" x14ac:dyDescent="0.3">
      <c r="A160" s="161" t="e">
        <f>#REF!</f>
        <v>#REF!</v>
      </c>
      <c r="B160" s="161" t="e">
        <f>#REF!</f>
        <v>#REF!</v>
      </c>
      <c r="C160" s="161" t="e">
        <f>#REF!</f>
        <v>#REF!</v>
      </c>
      <c r="D160" s="161" t="e">
        <f>#REF!</f>
        <v>#REF!</v>
      </c>
      <c r="E160" s="161" t="e">
        <f>#REF!</f>
        <v>#REF!</v>
      </c>
      <c r="F160" s="161" t="e">
        <f>#REF!</f>
        <v>#REF!</v>
      </c>
      <c r="G160" s="161" t="e">
        <f>#REF!</f>
        <v>#REF!</v>
      </c>
      <c r="H160" s="161" t="e">
        <f>#REF!</f>
        <v>#REF!</v>
      </c>
    </row>
    <row r="161" spans="1:8" x14ac:dyDescent="0.3">
      <c r="A161" s="161" t="e">
        <f>#REF!</f>
        <v>#REF!</v>
      </c>
      <c r="B161" s="161" t="e">
        <f>#REF!</f>
        <v>#REF!</v>
      </c>
      <c r="C161" s="161" t="e">
        <f>#REF!</f>
        <v>#REF!</v>
      </c>
      <c r="D161" s="161" t="e">
        <f>#REF!</f>
        <v>#REF!</v>
      </c>
      <c r="E161" s="161" t="e">
        <f>#REF!</f>
        <v>#REF!</v>
      </c>
      <c r="F161" s="161" t="e">
        <f>#REF!</f>
        <v>#REF!</v>
      </c>
      <c r="G161" s="161" t="e">
        <f>#REF!</f>
        <v>#REF!</v>
      </c>
      <c r="H161" s="161" t="e">
        <f>#REF!</f>
        <v>#REF!</v>
      </c>
    </row>
    <row r="162" spans="1:8" x14ac:dyDescent="0.3">
      <c r="A162" s="161" t="e">
        <f>#REF!</f>
        <v>#REF!</v>
      </c>
      <c r="B162" s="161" t="e">
        <f>#REF!</f>
        <v>#REF!</v>
      </c>
      <c r="C162" s="161" t="e">
        <f>#REF!</f>
        <v>#REF!</v>
      </c>
      <c r="D162" s="161" t="e">
        <f>#REF!</f>
        <v>#REF!</v>
      </c>
      <c r="E162" s="161" t="e">
        <f>#REF!</f>
        <v>#REF!</v>
      </c>
      <c r="F162" s="161" t="e">
        <f>#REF!</f>
        <v>#REF!</v>
      </c>
      <c r="G162" s="161" t="e">
        <f>#REF!</f>
        <v>#REF!</v>
      </c>
      <c r="H162" s="161" t="e">
        <f>#REF!</f>
        <v>#REF!</v>
      </c>
    </row>
    <row r="163" spans="1:8" x14ac:dyDescent="0.3">
      <c r="A163" s="161" t="e">
        <f>#REF!</f>
        <v>#REF!</v>
      </c>
      <c r="B163" s="161" t="e">
        <f>#REF!</f>
        <v>#REF!</v>
      </c>
      <c r="C163" s="161" t="e">
        <f>#REF!</f>
        <v>#REF!</v>
      </c>
      <c r="D163" s="161" t="e">
        <f>#REF!</f>
        <v>#REF!</v>
      </c>
      <c r="E163" s="161" t="e">
        <f>#REF!</f>
        <v>#REF!</v>
      </c>
      <c r="F163" s="161" t="e">
        <f>#REF!</f>
        <v>#REF!</v>
      </c>
      <c r="G163" s="161" t="e">
        <f>#REF!</f>
        <v>#REF!</v>
      </c>
      <c r="H163" s="161" t="e">
        <f>#REF!</f>
        <v>#REF!</v>
      </c>
    </row>
    <row r="164" spans="1:8" x14ac:dyDescent="0.3">
      <c r="A164" s="161" t="e">
        <f>#REF!</f>
        <v>#REF!</v>
      </c>
      <c r="B164" s="161" t="e">
        <f>#REF!</f>
        <v>#REF!</v>
      </c>
      <c r="C164" s="161" t="e">
        <f>#REF!</f>
        <v>#REF!</v>
      </c>
      <c r="D164" s="161" t="e">
        <f>#REF!</f>
        <v>#REF!</v>
      </c>
      <c r="E164" s="161" t="e">
        <f>#REF!</f>
        <v>#REF!</v>
      </c>
      <c r="F164" s="161" t="e">
        <f>#REF!</f>
        <v>#REF!</v>
      </c>
      <c r="G164" s="161" t="e">
        <f>#REF!</f>
        <v>#REF!</v>
      </c>
      <c r="H164" s="161" t="e">
        <f>#REF!</f>
        <v>#REF!</v>
      </c>
    </row>
    <row r="165" spans="1:8" x14ac:dyDescent="0.3">
      <c r="A165" s="161" t="e">
        <f>#REF!</f>
        <v>#REF!</v>
      </c>
      <c r="B165" s="161" t="e">
        <f>#REF!</f>
        <v>#REF!</v>
      </c>
      <c r="C165" s="161" t="e">
        <f>#REF!</f>
        <v>#REF!</v>
      </c>
      <c r="D165" s="161" t="e">
        <f>#REF!</f>
        <v>#REF!</v>
      </c>
      <c r="E165" s="161" t="e">
        <f>#REF!</f>
        <v>#REF!</v>
      </c>
      <c r="F165" s="161" t="e">
        <f>#REF!</f>
        <v>#REF!</v>
      </c>
      <c r="G165" s="161" t="e">
        <f>#REF!</f>
        <v>#REF!</v>
      </c>
      <c r="H165" s="161" t="e">
        <f>#REF!</f>
        <v>#REF!</v>
      </c>
    </row>
    <row r="166" spans="1:8" x14ac:dyDescent="0.3">
      <c r="A166" s="161" t="e">
        <f>#REF!</f>
        <v>#REF!</v>
      </c>
      <c r="B166" s="161" t="e">
        <f>#REF!</f>
        <v>#REF!</v>
      </c>
      <c r="C166" s="161" t="e">
        <f>#REF!</f>
        <v>#REF!</v>
      </c>
      <c r="D166" s="161" t="e">
        <f>#REF!</f>
        <v>#REF!</v>
      </c>
      <c r="E166" s="161" t="e">
        <f>#REF!</f>
        <v>#REF!</v>
      </c>
      <c r="F166" s="161" t="e">
        <f>#REF!</f>
        <v>#REF!</v>
      </c>
      <c r="G166" s="161" t="e">
        <f>#REF!</f>
        <v>#REF!</v>
      </c>
      <c r="H166" s="161" t="e">
        <f>#REF!</f>
        <v>#REF!</v>
      </c>
    </row>
    <row r="167" spans="1:8" x14ac:dyDescent="0.3">
      <c r="A167" s="161" t="e">
        <f>#REF!</f>
        <v>#REF!</v>
      </c>
      <c r="B167" s="161" t="e">
        <f>#REF!</f>
        <v>#REF!</v>
      </c>
      <c r="C167" s="161" t="e">
        <f>#REF!</f>
        <v>#REF!</v>
      </c>
      <c r="D167" s="161" t="e">
        <f>#REF!</f>
        <v>#REF!</v>
      </c>
      <c r="E167" s="161" t="e">
        <f>#REF!</f>
        <v>#REF!</v>
      </c>
      <c r="F167" s="161" t="e">
        <f>#REF!</f>
        <v>#REF!</v>
      </c>
      <c r="G167" s="161" t="e">
        <f>#REF!</f>
        <v>#REF!</v>
      </c>
      <c r="H167" s="161" t="e">
        <f>#REF!</f>
        <v>#REF!</v>
      </c>
    </row>
    <row r="168" spans="1:8" x14ac:dyDescent="0.3">
      <c r="A168" s="161" t="e">
        <f>#REF!</f>
        <v>#REF!</v>
      </c>
      <c r="B168" s="161" t="e">
        <f>#REF!</f>
        <v>#REF!</v>
      </c>
      <c r="C168" s="161" t="e">
        <f>#REF!</f>
        <v>#REF!</v>
      </c>
      <c r="D168" s="161" t="e">
        <f>#REF!</f>
        <v>#REF!</v>
      </c>
      <c r="E168" s="161" t="e">
        <f>#REF!</f>
        <v>#REF!</v>
      </c>
      <c r="F168" s="161" t="e">
        <f>#REF!</f>
        <v>#REF!</v>
      </c>
      <c r="G168" s="161" t="e">
        <f>#REF!</f>
        <v>#REF!</v>
      </c>
      <c r="H168" s="161" t="e">
        <f>#REF!</f>
        <v>#REF!</v>
      </c>
    </row>
    <row r="169" spans="1:8" x14ac:dyDescent="0.3">
      <c r="A169" s="161" t="e">
        <f>#REF!</f>
        <v>#REF!</v>
      </c>
      <c r="B169" s="161" t="e">
        <f>#REF!</f>
        <v>#REF!</v>
      </c>
      <c r="C169" s="161" t="e">
        <f>#REF!</f>
        <v>#REF!</v>
      </c>
      <c r="D169" s="161" t="e">
        <f>#REF!</f>
        <v>#REF!</v>
      </c>
      <c r="E169" s="161" t="e">
        <f>#REF!</f>
        <v>#REF!</v>
      </c>
      <c r="F169" s="161" t="e">
        <f>#REF!</f>
        <v>#REF!</v>
      </c>
      <c r="G169" s="161" t="e">
        <f>#REF!</f>
        <v>#REF!</v>
      </c>
      <c r="H169" s="161" t="e">
        <f>#REF!</f>
        <v>#REF!</v>
      </c>
    </row>
    <row r="170" spans="1:8" x14ac:dyDescent="0.3">
      <c r="A170" s="161" t="e">
        <f>#REF!</f>
        <v>#REF!</v>
      </c>
      <c r="B170" s="161" t="e">
        <f>#REF!</f>
        <v>#REF!</v>
      </c>
      <c r="C170" s="161" t="e">
        <f>#REF!</f>
        <v>#REF!</v>
      </c>
      <c r="D170" s="161" t="e">
        <f>#REF!</f>
        <v>#REF!</v>
      </c>
      <c r="E170" s="161" t="e">
        <f>#REF!</f>
        <v>#REF!</v>
      </c>
      <c r="F170" s="161" t="e">
        <f>#REF!</f>
        <v>#REF!</v>
      </c>
      <c r="G170" s="161" t="e">
        <f>#REF!</f>
        <v>#REF!</v>
      </c>
      <c r="H170" s="161" t="e">
        <f>#REF!</f>
        <v>#REF!</v>
      </c>
    </row>
    <row r="171" spans="1:8" x14ac:dyDescent="0.3">
      <c r="A171" s="161" t="e">
        <f>#REF!</f>
        <v>#REF!</v>
      </c>
      <c r="B171" s="161" t="e">
        <f>#REF!</f>
        <v>#REF!</v>
      </c>
      <c r="C171" s="161" t="e">
        <f>#REF!</f>
        <v>#REF!</v>
      </c>
      <c r="D171" s="161" t="e">
        <f>#REF!</f>
        <v>#REF!</v>
      </c>
      <c r="E171" s="161" t="e">
        <f>#REF!</f>
        <v>#REF!</v>
      </c>
      <c r="F171" s="161" t="e">
        <f>#REF!</f>
        <v>#REF!</v>
      </c>
      <c r="G171" s="161" t="e">
        <f>#REF!</f>
        <v>#REF!</v>
      </c>
      <c r="H171" s="161" t="e">
        <f>#REF!</f>
        <v>#REF!</v>
      </c>
    </row>
    <row r="172" spans="1:8" x14ac:dyDescent="0.3">
      <c r="A172" s="161" t="e">
        <f>#REF!</f>
        <v>#REF!</v>
      </c>
      <c r="B172" s="161" t="e">
        <f>#REF!</f>
        <v>#REF!</v>
      </c>
      <c r="C172" s="161" t="e">
        <f>#REF!</f>
        <v>#REF!</v>
      </c>
      <c r="D172" s="161" t="e">
        <f>#REF!</f>
        <v>#REF!</v>
      </c>
      <c r="E172" s="161" t="e">
        <f>#REF!</f>
        <v>#REF!</v>
      </c>
      <c r="F172" s="161" t="e">
        <f>#REF!</f>
        <v>#REF!</v>
      </c>
      <c r="G172" s="161" t="e">
        <f>#REF!</f>
        <v>#REF!</v>
      </c>
      <c r="H172" s="161" t="e">
        <f>#REF!</f>
        <v>#REF!</v>
      </c>
    </row>
    <row r="173" spans="1:8" x14ac:dyDescent="0.3">
      <c r="A173" s="161" t="e">
        <f>#REF!</f>
        <v>#REF!</v>
      </c>
      <c r="B173" s="161" t="e">
        <f>#REF!</f>
        <v>#REF!</v>
      </c>
      <c r="C173" s="161" t="e">
        <f>#REF!</f>
        <v>#REF!</v>
      </c>
      <c r="D173" s="161" t="e">
        <f>#REF!</f>
        <v>#REF!</v>
      </c>
      <c r="E173" s="161" t="e">
        <f>#REF!</f>
        <v>#REF!</v>
      </c>
      <c r="F173" s="161" t="e">
        <f>#REF!</f>
        <v>#REF!</v>
      </c>
      <c r="G173" s="161" t="e">
        <f>#REF!</f>
        <v>#REF!</v>
      </c>
      <c r="H173" s="161" t="e">
        <f>#REF!</f>
        <v>#REF!</v>
      </c>
    </row>
    <row r="174" spans="1:8" x14ac:dyDescent="0.3">
      <c r="A174" s="161" t="e">
        <f>#REF!</f>
        <v>#REF!</v>
      </c>
      <c r="B174" s="161" t="e">
        <f>#REF!</f>
        <v>#REF!</v>
      </c>
      <c r="C174" s="161" t="e">
        <f>#REF!</f>
        <v>#REF!</v>
      </c>
      <c r="D174" s="161" t="e">
        <f>#REF!</f>
        <v>#REF!</v>
      </c>
      <c r="E174" s="161" t="e">
        <f>#REF!</f>
        <v>#REF!</v>
      </c>
      <c r="F174" s="161" t="e">
        <f>#REF!</f>
        <v>#REF!</v>
      </c>
      <c r="G174" s="161" t="e">
        <f>#REF!</f>
        <v>#REF!</v>
      </c>
      <c r="H174" s="161" t="e">
        <f>#REF!</f>
        <v>#REF!</v>
      </c>
    </row>
    <row r="175" spans="1:8" x14ac:dyDescent="0.3">
      <c r="A175" s="161" t="e">
        <f>#REF!</f>
        <v>#REF!</v>
      </c>
      <c r="B175" s="161" t="e">
        <f>#REF!</f>
        <v>#REF!</v>
      </c>
      <c r="C175" s="161" t="e">
        <f>#REF!</f>
        <v>#REF!</v>
      </c>
      <c r="D175" s="161" t="e">
        <f>#REF!</f>
        <v>#REF!</v>
      </c>
      <c r="E175" s="161" t="e">
        <f>#REF!</f>
        <v>#REF!</v>
      </c>
      <c r="F175" s="161" t="e">
        <f>#REF!</f>
        <v>#REF!</v>
      </c>
      <c r="G175" s="161" t="e">
        <f>#REF!</f>
        <v>#REF!</v>
      </c>
      <c r="H175" s="161" t="e">
        <f>#REF!</f>
        <v>#REF!</v>
      </c>
    </row>
    <row r="176" spans="1:8" x14ac:dyDescent="0.3">
      <c r="A176" s="161" t="e">
        <f>#REF!</f>
        <v>#REF!</v>
      </c>
      <c r="B176" s="161" t="e">
        <f>#REF!</f>
        <v>#REF!</v>
      </c>
      <c r="C176" s="161" t="e">
        <f>#REF!</f>
        <v>#REF!</v>
      </c>
      <c r="D176" s="161" t="e">
        <f>#REF!</f>
        <v>#REF!</v>
      </c>
      <c r="E176" s="161" t="e">
        <f>#REF!</f>
        <v>#REF!</v>
      </c>
      <c r="F176" s="161" t="e">
        <f>#REF!</f>
        <v>#REF!</v>
      </c>
      <c r="G176" s="161" t="e">
        <f>#REF!</f>
        <v>#REF!</v>
      </c>
      <c r="H176" s="161" t="e">
        <f>#REF!</f>
        <v>#REF!</v>
      </c>
    </row>
    <row r="177" spans="1:8" x14ac:dyDescent="0.3">
      <c r="A177" s="161" t="e">
        <f>#REF!</f>
        <v>#REF!</v>
      </c>
      <c r="B177" s="161" t="e">
        <f>#REF!</f>
        <v>#REF!</v>
      </c>
      <c r="C177" s="161" t="e">
        <f>#REF!</f>
        <v>#REF!</v>
      </c>
      <c r="D177" s="161" t="e">
        <f>#REF!</f>
        <v>#REF!</v>
      </c>
      <c r="E177" s="161" t="e">
        <f>#REF!</f>
        <v>#REF!</v>
      </c>
      <c r="F177" s="161" t="e">
        <f>#REF!</f>
        <v>#REF!</v>
      </c>
      <c r="G177" s="161" t="e">
        <f>#REF!</f>
        <v>#REF!</v>
      </c>
      <c r="H177" s="161" t="e">
        <f>#REF!</f>
        <v>#REF!</v>
      </c>
    </row>
    <row r="178" spans="1:8" x14ac:dyDescent="0.3">
      <c r="A178" s="161" t="e">
        <f>#REF!</f>
        <v>#REF!</v>
      </c>
      <c r="B178" s="161" t="e">
        <f>#REF!</f>
        <v>#REF!</v>
      </c>
      <c r="C178" s="161" t="e">
        <f>#REF!</f>
        <v>#REF!</v>
      </c>
      <c r="D178" s="161" t="e">
        <f>#REF!</f>
        <v>#REF!</v>
      </c>
      <c r="E178" s="161" t="e">
        <f>#REF!</f>
        <v>#REF!</v>
      </c>
      <c r="F178" s="161" t="e">
        <f>#REF!</f>
        <v>#REF!</v>
      </c>
      <c r="G178" s="161" t="e">
        <f>#REF!</f>
        <v>#REF!</v>
      </c>
      <c r="H178" s="161" t="e">
        <f>#REF!</f>
        <v>#REF!</v>
      </c>
    </row>
    <row r="179" spans="1:8" x14ac:dyDescent="0.3">
      <c r="A179" s="161" t="e">
        <f>#REF!</f>
        <v>#REF!</v>
      </c>
      <c r="B179" s="161" t="e">
        <f>#REF!</f>
        <v>#REF!</v>
      </c>
      <c r="C179" s="161" t="e">
        <f>#REF!</f>
        <v>#REF!</v>
      </c>
      <c r="D179" s="161" t="e">
        <f>#REF!</f>
        <v>#REF!</v>
      </c>
      <c r="E179" s="161" t="e">
        <f>#REF!</f>
        <v>#REF!</v>
      </c>
      <c r="F179" s="161" t="e">
        <f>#REF!</f>
        <v>#REF!</v>
      </c>
      <c r="G179" s="161" t="e">
        <f>#REF!</f>
        <v>#REF!</v>
      </c>
      <c r="H179" s="161" t="e">
        <f>#REF!</f>
        <v>#REF!</v>
      </c>
    </row>
    <row r="180" spans="1:8" x14ac:dyDescent="0.3">
      <c r="A180" s="161" t="e">
        <f>#REF!</f>
        <v>#REF!</v>
      </c>
      <c r="B180" s="161" t="e">
        <f>#REF!</f>
        <v>#REF!</v>
      </c>
      <c r="C180" s="161" t="e">
        <f>#REF!</f>
        <v>#REF!</v>
      </c>
      <c r="D180" s="161" t="e">
        <f>#REF!</f>
        <v>#REF!</v>
      </c>
      <c r="E180" s="161" t="e">
        <f>#REF!</f>
        <v>#REF!</v>
      </c>
      <c r="F180" s="161" t="e">
        <f>#REF!</f>
        <v>#REF!</v>
      </c>
      <c r="G180" s="161" t="e">
        <f>#REF!</f>
        <v>#REF!</v>
      </c>
      <c r="H180" s="161" t="e">
        <f>#REF!</f>
        <v>#REF!</v>
      </c>
    </row>
    <row r="181" spans="1:8" x14ac:dyDescent="0.3">
      <c r="A181" s="161" t="e">
        <f>#REF!</f>
        <v>#REF!</v>
      </c>
      <c r="B181" s="161" t="e">
        <f>#REF!</f>
        <v>#REF!</v>
      </c>
      <c r="C181" s="161" t="e">
        <f>#REF!</f>
        <v>#REF!</v>
      </c>
      <c r="D181" s="161" t="e">
        <f>#REF!</f>
        <v>#REF!</v>
      </c>
      <c r="E181" s="161" t="e">
        <f>#REF!</f>
        <v>#REF!</v>
      </c>
      <c r="F181" s="161" t="e">
        <f>#REF!</f>
        <v>#REF!</v>
      </c>
      <c r="G181" s="161" t="e">
        <f>#REF!</f>
        <v>#REF!</v>
      </c>
      <c r="H181" s="161" t="e">
        <f>#REF!</f>
        <v>#REF!</v>
      </c>
    </row>
    <row r="182" spans="1:8" x14ac:dyDescent="0.3">
      <c r="A182" s="161" t="e">
        <f>#REF!</f>
        <v>#REF!</v>
      </c>
      <c r="B182" s="161" t="e">
        <f>#REF!</f>
        <v>#REF!</v>
      </c>
      <c r="C182" s="161" t="e">
        <f>#REF!</f>
        <v>#REF!</v>
      </c>
      <c r="D182" s="161" t="e">
        <f>#REF!</f>
        <v>#REF!</v>
      </c>
      <c r="E182" s="161" t="e">
        <f>#REF!</f>
        <v>#REF!</v>
      </c>
      <c r="F182" s="161" t="e">
        <f>#REF!</f>
        <v>#REF!</v>
      </c>
      <c r="G182" s="161" t="e">
        <f>#REF!</f>
        <v>#REF!</v>
      </c>
      <c r="H182" s="161" t="e">
        <f>#REF!</f>
        <v>#REF!</v>
      </c>
    </row>
    <row r="183" spans="1:8" x14ac:dyDescent="0.3">
      <c r="A183" s="161" t="e">
        <f>#REF!</f>
        <v>#REF!</v>
      </c>
      <c r="B183" s="161" t="e">
        <f>#REF!</f>
        <v>#REF!</v>
      </c>
      <c r="C183" s="161" t="e">
        <f>#REF!</f>
        <v>#REF!</v>
      </c>
      <c r="D183" s="161" t="e">
        <f>#REF!</f>
        <v>#REF!</v>
      </c>
      <c r="E183" s="161" t="e">
        <f>#REF!</f>
        <v>#REF!</v>
      </c>
      <c r="F183" s="161" t="e">
        <f>#REF!</f>
        <v>#REF!</v>
      </c>
      <c r="G183" s="161" t="e">
        <f>#REF!</f>
        <v>#REF!</v>
      </c>
      <c r="H183" s="161" t="e">
        <f>#REF!</f>
        <v>#REF!</v>
      </c>
    </row>
    <row r="184" spans="1:8" x14ac:dyDescent="0.3">
      <c r="A184" s="161" t="e">
        <f>#REF!</f>
        <v>#REF!</v>
      </c>
      <c r="B184" s="161" t="e">
        <f>#REF!</f>
        <v>#REF!</v>
      </c>
      <c r="C184" s="161" t="e">
        <f>#REF!</f>
        <v>#REF!</v>
      </c>
      <c r="D184" s="161" t="e">
        <f>#REF!</f>
        <v>#REF!</v>
      </c>
      <c r="E184" s="161" t="e">
        <f>#REF!</f>
        <v>#REF!</v>
      </c>
      <c r="F184" s="161" t="e">
        <f>#REF!</f>
        <v>#REF!</v>
      </c>
      <c r="G184" s="161" t="e">
        <f>#REF!</f>
        <v>#REF!</v>
      </c>
      <c r="H184" s="161" t="e">
        <f>#REF!</f>
        <v>#REF!</v>
      </c>
    </row>
    <row r="185" spans="1:8" x14ac:dyDescent="0.3">
      <c r="A185" s="161" t="e">
        <f>#REF!</f>
        <v>#REF!</v>
      </c>
      <c r="B185" s="161" t="e">
        <f>#REF!</f>
        <v>#REF!</v>
      </c>
      <c r="C185" s="161" t="e">
        <f>#REF!</f>
        <v>#REF!</v>
      </c>
      <c r="D185" s="161" t="e">
        <f>#REF!</f>
        <v>#REF!</v>
      </c>
      <c r="E185" s="161" t="e">
        <f>#REF!</f>
        <v>#REF!</v>
      </c>
      <c r="F185" s="161" t="e">
        <f>#REF!</f>
        <v>#REF!</v>
      </c>
      <c r="G185" s="161" t="e">
        <f>#REF!</f>
        <v>#REF!</v>
      </c>
      <c r="H185" s="161" t="e">
        <f>#REF!</f>
        <v>#REF!</v>
      </c>
    </row>
    <row r="186" spans="1:8" x14ac:dyDescent="0.3">
      <c r="A186" s="161" t="e">
        <f>#REF!</f>
        <v>#REF!</v>
      </c>
      <c r="B186" s="161" t="e">
        <f>#REF!</f>
        <v>#REF!</v>
      </c>
      <c r="C186" s="161" t="e">
        <f>#REF!</f>
        <v>#REF!</v>
      </c>
      <c r="D186" s="161" t="e">
        <f>#REF!</f>
        <v>#REF!</v>
      </c>
      <c r="E186" s="161" t="e">
        <f>#REF!</f>
        <v>#REF!</v>
      </c>
      <c r="F186" s="161" t="e">
        <f>#REF!</f>
        <v>#REF!</v>
      </c>
      <c r="G186" s="161" t="e">
        <f>#REF!</f>
        <v>#REF!</v>
      </c>
      <c r="H186" s="161" t="e">
        <f>#REF!</f>
        <v>#REF!</v>
      </c>
    </row>
    <row r="187" spans="1:8" x14ac:dyDescent="0.3">
      <c r="A187" s="161" t="e">
        <f>#REF!</f>
        <v>#REF!</v>
      </c>
      <c r="B187" s="161" t="e">
        <f>#REF!</f>
        <v>#REF!</v>
      </c>
      <c r="C187" s="161" t="e">
        <f>#REF!</f>
        <v>#REF!</v>
      </c>
      <c r="D187" s="161" t="e">
        <f>#REF!</f>
        <v>#REF!</v>
      </c>
      <c r="E187" s="161" t="e">
        <f>#REF!</f>
        <v>#REF!</v>
      </c>
      <c r="F187" s="161" t="e">
        <f>#REF!</f>
        <v>#REF!</v>
      </c>
      <c r="G187" s="161" t="e">
        <f>#REF!</f>
        <v>#REF!</v>
      </c>
      <c r="H187" s="161" t="e">
        <f>#REF!</f>
        <v>#REF!</v>
      </c>
    </row>
    <row r="188" spans="1:8" x14ac:dyDescent="0.3">
      <c r="A188" s="161" t="e">
        <f>#REF!</f>
        <v>#REF!</v>
      </c>
      <c r="B188" s="161" t="e">
        <f>#REF!</f>
        <v>#REF!</v>
      </c>
      <c r="C188" s="161" t="e">
        <f>#REF!</f>
        <v>#REF!</v>
      </c>
      <c r="D188" s="161" t="e">
        <f>#REF!</f>
        <v>#REF!</v>
      </c>
      <c r="E188" s="161" t="e">
        <f>#REF!</f>
        <v>#REF!</v>
      </c>
      <c r="F188" s="161" t="e">
        <f>#REF!</f>
        <v>#REF!</v>
      </c>
      <c r="G188" s="161" t="e">
        <f>#REF!</f>
        <v>#REF!</v>
      </c>
      <c r="H188" s="161" t="e">
        <f>#REF!</f>
        <v>#REF!</v>
      </c>
    </row>
    <row r="189" spans="1:8" x14ac:dyDescent="0.3">
      <c r="A189" s="161" t="e">
        <f>#REF!</f>
        <v>#REF!</v>
      </c>
      <c r="B189" s="161" t="e">
        <f>#REF!</f>
        <v>#REF!</v>
      </c>
      <c r="C189" s="161" t="e">
        <f>#REF!</f>
        <v>#REF!</v>
      </c>
      <c r="D189" s="161" t="e">
        <f>#REF!</f>
        <v>#REF!</v>
      </c>
      <c r="E189" s="161" t="e">
        <f>#REF!</f>
        <v>#REF!</v>
      </c>
      <c r="F189" s="161" t="e">
        <f>#REF!</f>
        <v>#REF!</v>
      </c>
      <c r="G189" s="161" t="e">
        <f>#REF!</f>
        <v>#REF!</v>
      </c>
      <c r="H189" s="161" t="e">
        <f>#REF!</f>
        <v>#REF!</v>
      </c>
    </row>
    <row r="190" spans="1:8" x14ac:dyDescent="0.3">
      <c r="A190" s="161" t="e">
        <f>#REF!</f>
        <v>#REF!</v>
      </c>
      <c r="B190" s="161" t="e">
        <f>#REF!</f>
        <v>#REF!</v>
      </c>
      <c r="C190" s="161" t="e">
        <f>#REF!</f>
        <v>#REF!</v>
      </c>
      <c r="D190" s="161" t="e">
        <f>#REF!</f>
        <v>#REF!</v>
      </c>
      <c r="E190" s="161" t="e">
        <f>#REF!</f>
        <v>#REF!</v>
      </c>
      <c r="F190" s="161" t="e">
        <f>#REF!</f>
        <v>#REF!</v>
      </c>
      <c r="G190" s="161" t="e">
        <f>#REF!</f>
        <v>#REF!</v>
      </c>
      <c r="H190" s="161" t="e">
        <f>#REF!</f>
        <v>#REF!</v>
      </c>
    </row>
    <row r="191" spans="1:8" x14ac:dyDescent="0.3">
      <c r="A191" s="161" t="e">
        <f>#REF!</f>
        <v>#REF!</v>
      </c>
      <c r="B191" s="161" t="e">
        <f>#REF!</f>
        <v>#REF!</v>
      </c>
      <c r="C191" s="161" t="e">
        <f>#REF!</f>
        <v>#REF!</v>
      </c>
      <c r="D191" s="161" t="e">
        <f>#REF!</f>
        <v>#REF!</v>
      </c>
      <c r="E191" s="161" t="e">
        <f>#REF!</f>
        <v>#REF!</v>
      </c>
      <c r="F191" s="161" t="e">
        <f>#REF!</f>
        <v>#REF!</v>
      </c>
      <c r="G191" s="161" t="e">
        <f>#REF!</f>
        <v>#REF!</v>
      </c>
      <c r="H191" s="161" t="e">
        <f>#REF!</f>
        <v>#REF!</v>
      </c>
    </row>
    <row r="192" spans="1:8" x14ac:dyDescent="0.3">
      <c r="A192" s="161" t="e">
        <f>#REF!</f>
        <v>#REF!</v>
      </c>
      <c r="B192" s="161" t="e">
        <f>#REF!</f>
        <v>#REF!</v>
      </c>
      <c r="C192" s="161" t="e">
        <f>#REF!</f>
        <v>#REF!</v>
      </c>
      <c r="D192" s="161" t="e">
        <f>#REF!</f>
        <v>#REF!</v>
      </c>
      <c r="E192" s="161" t="e">
        <f>#REF!</f>
        <v>#REF!</v>
      </c>
      <c r="F192" s="161" t="e">
        <f>#REF!</f>
        <v>#REF!</v>
      </c>
      <c r="G192" s="161" t="e">
        <f>#REF!</f>
        <v>#REF!</v>
      </c>
      <c r="H192" s="161" t="e">
        <f>#REF!</f>
        <v>#REF!</v>
      </c>
    </row>
    <row r="193" spans="1:8" x14ac:dyDescent="0.3">
      <c r="A193" s="161" t="e">
        <f>#REF!</f>
        <v>#REF!</v>
      </c>
      <c r="B193" s="161" t="e">
        <f>#REF!</f>
        <v>#REF!</v>
      </c>
      <c r="C193" s="161" t="e">
        <f>#REF!</f>
        <v>#REF!</v>
      </c>
      <c r="D193" s="161" t="e">
        <f>#REF!</f>
        <v>#REF!</v>
      </c>
      <c r="E193" s="161" t="e">
        <f>#REF!</f>
        <v>#REF!</v>
      </c>
      <c r="F193" s="161" t="e">
        <f>#REF!</f>
        <v>#REF!</v>
      </c>
      <c r="G193" s="161" t="e">
        <f>#REF!</f>
        <v>#REF!</v>
      </c>
      <c r="H193" s="161" t="e">
        <f>#REF!</f>
        <v>#REF!</v>
      </c>
    </row>
    <row r="194" spans="1:8" x14ac:dyDescent="0.3">
      <c r="A194" s="161" t="e">
        <f>#REF!</f>
        <v>#REF!</v>
      </c>
      <c r="B194" s="161" t="e">
        <f>#REF!</f>
        <v>#REF!</v>
      </c>
      <c r="C194" s="161" t="e">
        <f>#REF!</f>
        <v>#REF!</v>
      </c>
      <c r="D194" s="161" t="e">
        <f>#REF!</f>
        <v>#REF!</v>
      </c>
      <c r="E194" s="161" t="e">
        <f>#REF!</f>
        <v>#REF!</v>
      </c>
      <c r="F194" s="161" t="e">
        <f>#REF!</f>
        <v>#REF!</v>
      </c>
      <c r="G194" s="161" t="e">
        <f>#REF!</f>
        <v>#REF!</v>
      </c>
      <c r="H194" s="161" t="e">
        <f>#REF!</f>
        <v>#REF!</v>
      </c>
    </row>
    <row r="195" spans="1:8" x14ac:dyDescent="0.3">
      <c r="A195" s="161" t="e">
        <f>#REF!</f>
        <v>#REF!</v>
      </c>
      <c r="B195" s="161" t="e">
        <f>#REF!</f>
        <v>#REF!</v>
      </c>
      <c r="C195" s="161" t="e">
        <f>#REF!</f>
        <v>#REF!</v>
      </c>
      <c r="D195" s="161" t="e">
        <f>#REF!</f>
        <v>#REF!</v>
      </c>
      <c r="E195" s="161" t="e">
        <f>#REF!</f>
        <v>#REF!</v>
      </c>
      <c r="F195" s="161" t="e">
        <f>#REF!</f>
        <v>#REF!</v>
      </c>
      <c r="G195" s="161" t="e">
        <f>#REF!</f>
        <v>#REF!</v>
      </c>
      <c r="H195" s="161" t="e">
        <f>#REF!</f>
        <v>#REF!</v>
      </c>
    </row>
    <row r="196" spans="1:8" x14ac:dyDescent="0.3">
      <c r="A196" s="161" t="e">
        <f>#REF!</f>
        <v>#REF!</v>
      </c>
      <c r="B196" s="161" t="e">
        <f>#REF!</f>
        <v>#REF!</v>
      </c>
      <c r="C196" s="161" t="e">
        <f>#REF!</f>
        <v>#REF!</v>
      </c>
      <c r="D196" s="161" t="e">
        <f>#REF!</f>
        <v>#REF!</v>
      </c>
      <c r="E196" s="161" t="e">
        <f>#REF!</f>
        <v>#REF!</v>
      </c>
      <c r="F196" s="161" t="e">
        <f>#REF!</f>
        <v>#REF!</v>
      </c>
      <c r="G196" s="161" t="e">
        <f>#REF!</f>
        <v>#REF!</v>
      </c>
      <c r="H196" s="161" t="e">
        <f>#REF!</f>
        <v>#REF!</v>
      </c>
    </row>
    <row r="197" spans="1:8" x14ac:dyDescent="0.3">
      <c r="A197" s="161" t="e">
        <f>#REF!</f>
        <v>#REF!</v>
      </c>
      <c r="B197" s="161" t="e">
        <f>#REF!</f>
        <v>#REF!</v>
      </c>
      <c r="C197" s="161" t="e">
        <f>#REF!</f>
        <v>#REF!</v>
      </c>
      <c r="D197" s="161" t="e">
        <f>#REF!</f>
        <v>#REF!</v>
      </c>
      <c r="E197" s="161" t="e">
        <f>#REF!</f>
        <v>#REF!</v>
      </c>
      <c r="F197" s="161" t="e">
        <f>#REF!</f>
        <v>#REF!</v>
      </c>
      <c r="G197" s="161" t="e">
        <f>#REF!</f>
        <v>#REF!</v>
      </c>
      <c r="H197" s="161" t="e">
        <f>#REF!</f>
        <v>#REF!</v>
      </c>
    </row>
    <row r="198" spans="1:8" x14ac:dyDescent="0.3">
      <c r="A198" s="161" t="e">
        <f>#REF!</f>
        <v>#REF!</v>
      </c>
      <c r="B198" s="161" t="e">
        <f>#REF!</f>
        <v>#REF!</v>
      </c>
      <c r="C198" s="161" t="e">
        <f>#REF!</f>
        <v>#REF!</v>
      </c>
      <c r="D198" s="161" t="e">
        <f>#REF!</f>
        <v>#REF!</v>
      </c>
      <c r="E198" s="161" t="e">
        <f>#REF!</f>
        <v>#REF!</v>
      </c>
      <c r="F198" s="161" t="e">
        <f>#REF!</f>
        <v>#REF!</v>
      </c>
      <c r="G198" s="161" t="e">
        <f>#REF!</f>
        <v>#REF!</v>
      </c>
      <c r="H198" s="161" t="e">
        <f>#REF!</f>
        <v>#REF!</v>
      </c>
    </row>
    <row r="199" spans="1:8" x14ac:dyDescent="0.3">
      <c r="A199" s="161" t="e">
        <f>#REF!</f>
        <v>#REF!</v>
      </c>
      <c r="B199" s="161" t="e">
        <f>#REF!</f>
        <v>#REF!</v>
      </c>
      <c r="C199" s="161" t="e">
        <f>#REF!</f>
        <v>#REF!</v>
      </c>
      <c r="D199" s="161" t="e">
        <f>#REF!</f>
        <v>#REF!</v>
      </c>
      <c r="E199" s="161" t="e">
        <f>#REF!</f>
        <v>#REF!</v>
      </c>
      <c r="F199" s="161" t="e">
        <f>#REF!</f>
        <v>#REF!</v>
      </c>
      <c r="G199" s="161" t="e">
        <f>#REF!</f>
        <v>#REF!</v>
      </c>
      <c r="H199" s="161" t="e">
        <f>#REF!</f>
        <v>#REF!</v>
      </c>
    </row>
    <row r="200" spans="1:8" x14ac:dyDescent="0.3">
      <c r="A200" s="161" t="e">
        <f>#REF!</f>
        <v>#REF!</v>
      </c>
      <c r="B200" s="161" t="e">
        <f>#REF!</f>
        <v>#REF!</v>
      </c>
      <c r="C200" s="161" t="e">
        <f>#REF!</f>
        <v>#REF!</v>
      </c>
      <c r="D200" s="161" t="e">
        <f>#REF!</f>
        <v>#REF!</v>
      </c>
      <c r="E200" s="161" t="e">
        <f>#REF!</f>
        <v>#REF!</v>
      </c>
      <c r="F200" s="161" t="e">
        <f>#REF!</f>
        <v>#REF!</v>
      </c>
      <c r="G200" s="161" t="e">
        <f>#REF!</f>
        <v>#REF!</v>
      </c>
      <c r="H200" s="161" t="e">
        <f>#REF!</f>
        <v>#REF!</v>
      </c>
    </row>
    <row r="201" spans="1:8" x14ac:dyDescent="0.3">
      <c r="A201" s="161" t="e">
        <f>#REF!</f>
        <v>#REF!</v>
      </c>
      <c r="B201" s="161" t="e">
        <f>#REF!</f>
        <v>#REF!</v>
      </c>
      <c r="C201" s="161" t="e">
        <f>#REF!</f>
        <v>#REF!</v>
      </c>
      <c r="D201" s="161" t="e">
        <f>#REF!</f>
        <v>#REF!</v>
      </c>
      <c r="E201" s="161" t="e">
        <f>#REF!</f>
        <v>#REF!</v>
      </c>
      <c r="F201" s="161" t="e">
        <f>#REF!</f>
        <v>#REF!</v>
      </c>
      <c r="G201" s="161" t="e">
        <f>#REF!</f>
        <v>#REF!</v>
      </c>
      <c r="H201" s="161" t="e">
        <f>#REF!</f>
        <v>#REF!</v>
      </c>
    </row>
    <row r="202" spans="1:8" x14ac:dyDescent="0.3">
      <c r="A202" s="161" t="e">
        <f>#REF!</f>
        <v>#REF!</v>
      </c>
      <c r="B202" s="161" t="e">
        <f>#REF!</f>
        <v>#REF!</v>
      </c>
      <c r="C202" s="161" t="e">
        <f>#REF!</f>
        <v>#REF!</v>
      </c>
      <c r="D202" s="161" t="e">
        <f>#REF!</f>
        <v>#REF!</v>
      </c>
      <c r="E202" s="161" t="e">
        <f>#REF!</f>
        <v>#REF!</v>
      </c>
      <c r="F202" s="161" t="e">
        <f>#REF!</f>
        <v>#REF!</v>
      </c>
      <c r="G202" s="161" t="e">
        <f>#REF!</f>
        <v>#REF!</v>
      </c>
      <c r="H202" s="161" t="e">
        <f>#REF!</f>
        <v>#REF!</v>
      </c>
    </row>
    <row r="203" spans="1:8" x14ac:dyDescent="0.3">
      <c r="A203" s="161" t="e">
        <f>#REF!</f>
        <v>#REF!</v>
      </c>
      <c r="B203" s="161" t="e">
        <f>#REF!</f>
        <v>#REF!</v>
      </c>
      <c r="C203" s="161" t="e">
        <f>#REF!</f>
        <v>#REF!</v>
      </c>
      <c r="D203" s="161" t="e">
        <f>#REF!</f>
        <v>#REF!</v>
      </c>
      <c r="E203" s="161" t="e">
        <f>#REF!</f>
        <v>#REF!</v>
      </c>
      <c r="F203" s="161" t="e">
        <f>#REF!</f>
        <v>#REF!</v>
      </c>
      <c r="G203" s="161" t="e">
        <f>#REF!</f>
        <v>#REF!</v>
      </c>
      <c r="H203" s="161" t="e">
        <f>#REF!</f>
        <v>#REF!</v>
      </c>
    </row>
    <row r="204" spans="1:8" x14ac:dyDescent="0.3">
      <c r="A204" s="161" t="e">
        <f>#REF!</f>
        <v>#REF!</v>
      </c>
      <c r="B204" s="161" t="e">
        <f>#REF!</f>
        <v>#REF!</v>
      </c>
      <c r="C204" s="161" t="e">
        <f>#REF!</f>
        <v>#REF!</v>
      </c>
      <c r="D204" s="161" t="e">
        <f>#REF!</f>
        <v>#REF!</v>
      </c>
      <c r="E204" s="161" t="e">
        <f>#REF!</f>
        <v>#REF!</v>
      </c>
      <c r="F204" s="161" t="e">
        <f>#REF!</f>
        <v>#REF!</v>
      </c>
      <c r="G204" s="161" t="e">
        <f>#REF!</f>
        <v>#REF!</v>
      </c>
      <c r="H204" s="161" t="e">
        <f>#REF!</f>
        <v>#REF!</v>
      </c>
    </row>
    <row r="205" spans="1:8" x14ac:dyDescent="0.3">
      <c r="A205" s="161" t="e">
        <f>#REF!</f>
        <v>#REF!</v>
      </c>
      <c r="B205" s="161" t="e">
        <f>#REF!</f>
        <v>#REF!</v>
      </c>
      <c r="C205" s="161" t="e">
        <f>#REF!</f>
        <v>#REF!</v>
      </c>
      <c r="D205" s="161" t="e">
        <f>#REF!</f>
        <v>#REF!</v>
      </c>
      <c r="E205" s="161" t="e">
        <f>#REF!</f>
        <v>#REF!</v>
      </c>
      <c r="F205" s="161" t="e">
        <f>#REF!</f>
        <v>#REF!</v>
      </c>
      <c r="G205" s="161" t="e">
        <f>#REF!</f>
        <v>#REF!</v>
      </c>
      <c r="H205" s="161" t="e">
        <f>#REF!</f>
        <v>#REF!</v>
      </c>
    </row>
  </sheetData>
  <pageMargins left="0.5" right="0.5" top="0.75" bottom="0.75" header="0.3" footer="0.3"/>
  <pageSetup scale="63" orientation="landscape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96"/>
  <sheetViews>
    <sheetView showGridLines="0" zoomScaleNormal="100" workbookViewId="0"/>
  </sheetViews>
  <sheetFormatPr defaultColWidth="11.44140625" defaultRowHeight="14.4" x14ac:dyDescent="0.3"/>
  <cols>
    <col min="2" max="2" width="33.44140625" customWidth="1"/>
    <col min="3" max="3" width="23.5546875" customWidth="1"/>
    <col min="7" max="7" width="15.5546875" customWidth="1"/>
    <col min="13" max="13" width="15.3320312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N11+I16</f>
        <v>6.9797859406250007</v>
      </c>
    </row>
    <row r="2" spans="1:14" x14ac:dyDescent="0.3">
      <c r="A2" s="197" t="s">
        <v>532</v>
      </c>
      <c r="B2" s="161" t="s">
        <v>578</v>
      </c>
      <c r="C2" s="318" t="s">
        <v>732</v>
      </c>
      <c r="D2" s="317" t="s">
        <v>536</v>
      </c>
      <c r="M2" s="197" t="s">
        <v>533</v>
      </c>
      <c r="N2" s="165">
        <v>2</v>
      </c>
    </row>
    <row r="3" spans="1:14" x14ac:dyDescent="0.3">
      <c r="A3" s="197" t="s">
        <v>534</v>
      </c>
      <c r="B3" t="s">
        <v>579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6" t="s">
        <v>40</v>
      </c>
      <c r="D4" s="197" t="s">
        <v>541</v>
      </c>
      <c r="J4" s="197" t="s">
        <v>538</v>
      </c>
      <c r="M4" s="197" t="s">
        <v>539</v>
      </c>
      <c r="N4" s="164">
        <f>N2*N1</f>
        <v>13.959571881250001</v>
      </c>
    </row>
    <row r="5" spans="1:14" x14ac:dyDescent="0.3">
      <c r="A5" s="197" t="s">
        <v>537</v>
      </c>
      <c r="B5" s="199" t="s">
        <v>39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200" t="s">
        <v>542</v>
      </c>
      <c r="B7" s="161" t="s">
        <v>595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s="211" customFormat="1" ht="28.8" x14ac:dyDescent="0.3">
      <c r="A10" s="183">
        <v>10</v>
      </c>
      <c r="B10" s="190" t="s">
        <v>596</v>
      </c>
      <c r="C10" s="184" t="s">
        <v>597</v>
      </c>
      <c r="D10" s="185">
        <v>2.25</v>
      </c>
      <c r="E10" s="183">
        <v>165</v>
      </c>
      <c r="F10" s="183" t="s">
        <v>573</v>
      </c>
      <c r="G10" s="183"/>
      <c r="H10" s="204"/>
      <c r="I10" s="205" t="s">
        <v>588</v>
      </c>
      <c r="J10" s="206">
        <f>(E10*10^-3)^2*3.14/4</f>
        <v>2.1371625000000002E-2</v>
      </c>
      <c r="K10" s="207">
        <v>5.0000000000000001E-3</v>
      </c>
      <c r="L10" s="217">
        <v>7860</v>
      </c>
      <c r="M10" s="209">
        <f>K10*J10*L10</f>
        <v>0.83990486250000007</v>
      </c>
      <c r="N10" s="210">
        <f>M10*D10</f>
        <v>1.8897859406250002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212" t="s">
        <v>547</v>
      </c>
      <c r="N11" s="213">
        <f>N10</f>
        <v>1.8897859406250002</v>
      </c>
    </row>
    <row r="13" spans="1:14" x14ac:dyDescent="0.3">
      <c r="A13" s="203" t="s">
        <v>544</v>
      </c>
      <c r="B13" s="203" t="s">
        <v>548</v>
      </c>
      <c r="C13" s="203" t="s">
        <v>549</v>
      </c>
      <c r="D13" s="203" t="s">
        <v>550</v>
      </c>
      <c r="E13" s="203" t="s">
        <v>551</v>
      </c>
      <c r="F13" s="203" t="s">
        <v>28</v>
      </c>
      <c r="G13" s="203" t="s">
        <v>552</v>
      </c>
      <c r="H13" s="203" t="s">
        <v>553</v>
      </c>
      <c r="I13" s="203" t="s">
        <v>547</v>
      </c>
      <c r="J13" s="178"/>
      <c r="K13" s="178"/>
      <c r="L13" s="178"/>
      <c r="M13" s="178"/>
      <c r="N13" s="178"/>
    </row>
    <row r="14" spans="1:14" ht="43.2" x14ac:dyDescent="0.3">
      <c r="A14" s="179">
        <v>10</v>
      </c>
      <c r="B14" s="180" t="s">
        <v>589</v>
      </c>
      <c r="C14" s="179" t="s">
        <v>590</v>
      </c>
      <c r="D14" s="170">
        <v>1.3</v>
      </c>
      <c r="E14" s="180" t="s">
        <v>556</v>
      </c>
      <c r="F14" s="179">
        <v>1</v>
      </c>
      <c r="G14" s="267" t="s">
        <v>2450</v>
      </c>
      <c r="H14" s="179">
        <v>0.5</v>
      </c>
      <c r="I14" s="214">
        <f>D14*H14</f>
        <v>0.65</v>
      </c>
    </row>
    <row r="15" spans="1:14" x14ac:dyDescent="0.3">
      <c r="A15" s="168">
        <v>20</v>
      </c>
      <c r="B15" s="180" t="s">
        <v>591</v>
      </c>
      <c r="C15" s="168" t="s">
        <v>592</v>
      </c>
      <c r="D15" s="170">
        <v>0.01</v>
      </c>
      <c r="E15" s="168" t="s">
        <v>593</v>
      </c>
      <c r="F15" s="168">
        <v>148</v>
      </c>
      <c r="G15" s="180" t="s">
        <v>598</v>
      </c>
      <c r="H15" s="179">
        <v>3</v>
      </c>
      <c r="I15" s="170">
        <f>H15*F15*D15</f>
        <v>4.4400000000000004</v>
      </c>
    </row>
    <row r="16" spans="1:14" x14ac:dyDescent="0.3">
      <c r="A16" s="178"/>
      <c r="B16" s="178"/>
      <c r="C16" s="178"/>
      <c r="D16" s="178"/>
      <c r="E16" s="178"/>
      <c r="F16" s="178"/>
      <c r="G16" s="178"/>
      <c r="H16" s="216" t="s">
        <v>547</v>
      </c>
      <c r="I16" s="213">
        <f>I15+I14</f>
        <v>5.0900000000000007</v>
      </c>
      <c r="J16" s="178"/>
      <c r="K16" s="178"/>
      <c r="L16" s="178"/>
      <c r="M16" s="178"/>
      <c r="N16" s="178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  <row r="179" spans="1:8" x14ac:dyDescent="0.3">
      <c r="A179" s="161"/>
      <c r="B179" s="161"/>
      <c r="C179" s="161"/>
      <c r="D179" s="161"/>
      <c r="E179" s="161"/>
      <c r="F179" s="161"/>
      <c r="G179" s="161"/>
      <c r="H179" s="161"/>
    </row>
    <row r="180" spans="1:8" x14ac:dyDescent="0.3">
      <c r="A180" s="161"/>
      <c r="B180" s="161"/>
      <c r="C180" s="161"/>
      <c r="D180" s="161"/>
      <c r="E180" s="161"/>
      <c r="F180" s="161"/>
      <c r="G180" s="161"/>
      <c r="H180" s="161"/>
    </row>
    <row r="181" spans="1:8" x14ac:dyDescent="0.3">
      <c r="A181" s="161"/>
      <c r="B181" s="161"/>
      <c r="C181" s="161"/>
      <c r="D181" s="161"/>
      <c r="E181" s="161"/>
      <c r="F181" s="161"/>
      <c r="G181" s="161"/>
      <c r="H181" s="161"/>
    </row>
    <row r="182" spans="1:8" x14ac:dyDescent="0.3">
      <c r="A182" s="161"/>
      <c r="B182" s="161"/>
      <c r="C182" s="161"/>
      <c r="D182" s="161"/>
      <c r="E182" s="161"/>
      <c r="F182" s="161"/>
      <c r="G182" s="161"/>
      <c r="H182" s="161"/>
    </row>
    <row r="183" spans="1:8" x14ac:dyDescent="0.3">
      <c r="A183" s="161"/>
      <c r="B183" s="161"/>
      <c r="C183" s="161"/>
      <c r="D183" s="161"/>
      <c r="E183" s="161"/>
      <c r="F183" s="161"/>
      <c r="G183" s="161"/>
      <c r="H183" s="161"/>
    </row>
    <row r="184" spans="1:8" x14ac:dyDescent="0.3">
      <c r="A184" s="161"/>
      <c r="B184" s="161"/>
      <c r="C184" s="161"/>
      <c r="D184" s="161"/>
      <c r="E184" s="161"/>
      <c r="F184" s="161"/>
      <c r="G184" s="161"/>
      <c r="H184" s="161"/>
    </row>
    <row r="185" spans="1:8" x14ac:dyDescent="0.3">
      <c r="A185" s="161"/>
      <c r="B185" s="161"/>
      <c r="C185" s="161"/>
      <c r="D185" s="161"/>
      <c r="E185" s="161"/>
      <c r="F185" s="161"/>
      <c r="G185" s="161"/>
      <c r="H185" s="161"/>
    </row>
    <row r="186" spans="1:8" x14ac:dyDescent="0.3">
      <c r="A186" s="161"/>
      <c r="B186" s="161"/>
      <c r="C186" s="161"/>
      <c r="D186" s="161"/>
      <c r="E186" s="161"/>
      <c r="F186" s="161"/>
      <c r="G186" s="161"/>
      <c r="H186" s="161"/>
    </row>
    <row r="187" spans="1:8" x14ac:dyDescent="0.3">
      <c r="A187" s="161"/>
      <c r="B187" s="161"/>
      <c r="C187" s="161"/>
      <c r="D187" s="161"/>
      <c r="E187" s="161"/>
      <c r="F187" s="161"/>
      <c r="G187" s="161"/>
      <c r="H187" s="161"/>
    </row>
    <row r="188" spans="1:8" x14ac:dyDescent="0.3">
      <c r="A188" s="161"/>
      <c r="B188" s="161"/>
      <c r="C188" s="161"/>
      <c r="D188" s="161"/>
      <c r="E188" s="161"/>
      <c r="F188" s="161"/>
      <c r="G188" s="161"/>
      <c r="H188" s="161"/>
    </row>
    <row r="189" spans="1:8" x14ac:dyDescent="0.3">
      <c r="A189" s="161"/>
      <c r="B189" s="161"/>
      <c r="C189" s="161"/>
      <c r="D189" s="161"/>
      <c r="E189" s="161"/>
      <c r="F189" s="161"/>
      <c r="G189" s="161"/>
      <c r="H189" s="161"/>
    </row>
    <row r="190" spans="1:8" x14ac:dyDescent="0.3">
      <c r="A190" s="161"/>
      <c r="B190" s="161"/>
      <c r="C190" s="161"/>
      <c r="D190" s="161"/>
      <c r="E190" s="161"/>
      <c r="F190" s="161"/>
      <c r="G190" s="161"/>
      <c r="H190" s="161"/>
    </row>
    <row r="191" spans="1:8" x14ac:dyDescent="0.3">
      <c r="A191" s="161"/>
      <c r="B191" s="161"/>
      <c r="C191" s="161"/>
      <c r="D191" s="161"/>
      <c r="E191" s="161"/>
      <c r="F191" s="161"/>
      <c r="G191" s="161"/>
      <c r="H191" s="161"/>
    </row>
    <row r="192" spans="1:8" x14ac:dyDescent="0.3">
      <c r="A192" s="161"/>
      <c r="B192" s="161"/>
      <c r="C192" s="161"/>
      <c r="D192" s="161"/>
      <c r="E192" s="161"/>
      <c r="F192" s="161"/>
      <c r="G192" s="161"/>
      <c r="H192" s="161"/>
    </row>
    <row r="193" spans="1:8" x14ac:dyDescent="0.3">
      <c r="A193" s="161"/>
      <c r="B193" s="161"/>
      <c r="C193" s="161"/>
      <c r="D193" s="161"/>
      <c r="E193" s="161"/>
      <c r="F193" s="161"/>
      <c r="G193" s="161"/>
      <c r="H193" s="161"/>
    </row>
    <row r="194" spans="1:8" x14ac:dyDescent="0.3">
      <c r="A194" s="161"/>
      <c r="B194" s="161"/>
      <c r="C194" s="161"/>
      <c r="D194" s="161"/>
      <c r="E194" s="161"/>
      <c r="F194" s="161"/>
      <c r="G194" s="161"/>
      <c r="H194" s="161"/>
    </row>
    <row r="195" spans="1:8" x14ac:dyDescent="0.3">
      <c r="A195" s="161"/>
      <c r="B195" s="161"/>
      <c r="C195" s="161"/>
      <c r="D195" s="161"/>
      <c r="E195" s="161"/>
      <c r="F195" s="161"/>
      <c r="G195" s="161"/>
      <c r="H195" s="161"/>
    </row>
    <row r="196" spans="1:8" x14ac:dyDescent="0.3">
      <c r="A196" s="161"/>
      <c r="B196" s="161"/>
      <c r="C196" s="161"/>
      <c r="D196" s="161"/>
      <c r="E196" s="161"/>
      <c r="F196" s="161"/>
      <c r="G196" s="161"/>
      <c r="H196" s="161"/>
    </row>
  </sheetData>
  <hyperlinks>
    <hyperlink ref="D2" location="'Shrink disc drawing'!A1" display="FileLink1"/>
  </hyperlinks>
  <pageMargins left="0.7" right="0.7" top="0.75" bottom="0.75" header="0.3" footer="0.3"/>
  <pageSetup paperSize="9" scale="66" fitToHeight="0" orientation="landscape"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0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1.66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8.109375" style="161" customWidth="1"/>
    <col min="8" max="8" width="13.88671875" style="161" bestFit="1" customWidth="1"/>
    <col min="9" max="9" width="17.55468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164">
        <f>N11+I16</f>
        <v>1.092438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1020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994</v>
      </c>
      <c r="D4" s="342" t="s">
        <v>541</v>
      </c>
      <c r="J4" s="342" t="s">
        <v>538</v>
      </c>
      <c r="M4" s="342" t="s">
        <v>539</v>
      </c>
      <c r="N4" s="164">
        <f>N1*N2</f>
        <v>2.184876</v>
      </c>
    </row>
    <row r="5" spans="1:14" x14ac:dyDescent="0.3">
      <c r="A5" s="342" t="s">
        <v>537</v>
      </c>
      <c r="B5" s="166" t="s">
        <v>127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30" customHeight="1" x14ac:dyDescent="0.3">
      <c r="A10" s="168">
        <v>10</v>
      </c>
      <c r="B10" s="168" t="s">
        <v>720</v>
      </c>
      <c r="C10" s="168" t="s">
        <v>976</v>
      </c>
      <c r="D10" s="302">
        <v>4.2</v>
      </c>
      <c r="E10" s="168">
        <v>150</v>
      </c>
      <c r="F10" s="168" t="s">
        <v>573</v>
      </c>
      <c r="G10" s="168">
        <v>20</v>
      </c>
      <c r="H10" s="219" t="s">
        <v>573</v>
      </c>
      <c r="I10" s="269" t="s">
        <v>1046</v>
      </c>
      <c r="J10" s="227">
        <f>G10*E10/1000000</f>
        <v>3.0000000000000001E-3</v>
      </c>
      <c r="K10" s="227">
        <v>3.0000000000000001E-3</v>
      </c>
      <c r="L10" s="219">
        <v>2710</v>
      </c>
      <c r="M10" s="227">
        <f>K10*J10</f>
        <v>9.0000000000000002E-6</v>
      </c>
      <c r="N10" s="223">
        <f>L10*M10*D10</f>
        <v>0.10243800000000002</v>
      </c>
    </row>
    <row r="11" spans="1:14" s="178" customFormat="1" x14ac:dyDescent="0.3">
      <c r="M11" s="338" t="s">
        <v>547</v>
      </c>
      <c r="N11" s="337">
        <f>SUM(N10:N10)</f>
        <v>0.10243800000000002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8" x14ac:dyDescent="0.3">
      <c r="A14" s="168">
        <v>10</v>
      </c>
      <c r="B14" s="180" t="s">
        <v>589</v>
      </c>
      <c r="C14" s="407" t="s">
        <v>1035</v>
      </c>
      <c r="D14" s="368">
        <v>1.3</v>
      </c>
      <c r="E14" s="408"/>
      <c r="F14" s="168">
        <v>1</v>
      </c>
      <c r="G14" s="184" t="s">
        <v>2890</v>
      </c>
      <c r="H14" s="168">
        <v>0.5</v>
      </c>
      <c r="I14" s="170">
        <f>F14*D14*H14</f>
        <v>0.65</v>
      </c>
    </row>
    <row r="15" spans="1:14" ht="28.8" x14ac:dyDescent="0.3">
      <c r="A15" s="168">
        <v>20</v>
      </c>
      <c r="B15" s="180" t="s">
        <v>700</v>
      </c>
      <c r="C15" s="409" t="s">
        <v>592</v>
      </c>
      <c r="D15" s="368">
        <v>0.01</v>
      </c>
      <c r="E15" s="408" t="s">
        <v>593</v>
      </c>
      <c r="F15" s="168">
        <v>34</v>
      </c>
      <c r="G15" s="184" t="s">
        <v>710</v>
      </c>
      <c r="H15" s="184">
        <v>1</v>
      </c>
      <c r="I15" s="170">
        <f>F15*D15</f>
        <v>0.34</v>
      </c>
    </row>
    <row r="16" spans="1:14" s="178" customFormat="1" x14ac:dyDescent="0.3">
      <c r="H16" s="338" t="s">
        <v>547</v>
      </c>
      <c r="I16" s="337">
        <f>SUM(I14:I15)</f>
        <v>0.99</v>
      </c>
    </row>
    <row r="68" spans="1:8" x14ac:dyDescent="0.3">
      <c r="A68" s="161" t="e">
        <f>#REF!</f>
        <v>#REF!</v>
      </c>
      <c r="B68" s="161" t="e">
        <f>#REF!</f>
        <v>#REF!</v>
      </c>
      <c r="C68" s="161" t="e">
        <f>#REF!</f>
        <v>#REF!</v>
      </c>
      <c r="D68" s="161" t="e">
        <f>#REF!</f>
        <v>#REF!</v>
      </c>
      <c r="E68" s="161" t="e">
        <f>#REF!</f>
        <v>#REF!</v>
      </c>
      <c r="F68" s="161" t="e">
        <f>#REF!</f>
        <v>#REF!</v>
      </c>
      <c r="G68" s="161" t="e">
        <f>#REF!</f>
        <v>#REF!</v>
      </c>
      <c r="H68" s="161" t="e">
        <f>#REF!</f>
        <v>#REF!</v>
      </c>
    </row>
    <row r="69" spans="1:8" x14ac:dyDescent="0.3">
      <c r="A69" s="161" t="e">
        <f>#REF!</f>
        <v>#REF!</v>
      </c>
      <c r="B69" s="161" t="e">
        <f>#REF!</f>
        <v>#REF!</v>
      </c>
      <c r="C69" s="161" t="e">
        <f>#REF!</f>
        <v>#REF!</v>
      </c>
      <c r="D69" s="161" t="e">
        <f>#REF!</f>
        <v>#REF!</v>
      </c>
      <c r="E69" s="161" t="e">
        <f>#REF!</f>
        <v>#REF!</v>
      </c>
      <c r="F69" s="161" t="e">
        <f>#REF!</f>
        <v>#REF!</v>
      </c>
      <c r="G69" s="161" t="e">
        <f>#REF!</f>
        <v>#REF!</v>
      </c>
      <c r="H69" s="161" t="e">
        <f>#REF!</f>
        <v>#REF!</v>
      </c>
    </row>
    <row r="70" spans="1:8" x14ac:dyDescent="0.3">
      <c r="A70" s="161" t="e">
        <f>#REF!</f>
        <v>#REF!</v>
      </c>
      <c r="B70" s="161" t="e">
        <f>#REF!</f>
        <v>#REF!</v>
      </c>
      <c r="C70" s="161" t="e">
        <f>#REF!</f>
        <v>#REF!</v>
      </c>
      <c r="D70" s="161" t="e">
        <f>#REF!</f>
        <v>#REF!</v>
      </c>
      <c r="E70" s="161" t="e">
        <f>#REF!</f>
        <v>#REF!</v>
      </c>
      <c r="F70" s="161" t="e">
        <f>#REF!</f>
        <v>#REF!</v>
      </c>
      <c r="G70" s="161" t="e">
        <f>#REF!</f>
        <v>#REF!</v>
      </c>
      <c r="H70" s="161" t="e">
        <f>#REF!</f>
        <v>#REF!</v>
      </c>
    </row>
    <row r="71" spans="1:8" x14ac:dyDescent="0.3">
      <c r="A71" s="161" t="e">
        <f>#REF!</f>
        <v>#REF!</v>
      </c>
      <c r="B71" s="161" t="e">
        <f>#REF!</f>
        <v>#REF!</v>
      </c>
      <c r="C71" s="161" t="e">
        <f>#REF!</f>
        <v>#REF!</v>
      </c>
      <c r="D71" s="161" t="e">
        <f>#REF!</f>
        <v>#REF!</v>
      </c>
      <c r="E71" s="161" t="e">
        <f>#REF!</f>
        <v>#REF!</v>
      </c>
      <c r="F71" s="161" t="e">
        <f>#REF!</f>
        <v>#REF!</v>
      </c>
      <c r="G71" s="161" t="e">
        <f>#REF!</f>
        <v>#REF!</v>
      </c>
      <c r="H71" s="161" t="e">
        <f>#REF!</f>
        <v>#REF!</v>
      </c>
    </row>
    <row r="72" spans="1:8" x14ac:dyDescent="0.3">
      <c r="A72" s="161" t="e">
        <f>#REF!</f>
        <v>#REF!</v>
      </c>
      <c r="B72" s="161" t="e">
        <f>#REF!</f>
        <v>#REF!</v>
      </c>
      <c r="C72" s="161" t="e">
        <f>#REF!</f>
        <v>#REF!</v>
      </c>
      <c r="D72" s="161" t="e">
        <f>#REF!</f>
        <v>#REF!</v>
      </c>
      <c r="E72" s="161" t="e">
        <f>#REF!</f>
        <v>#REF!</v>
      </c>
      <c r="F72" s="161" t="e">
        <f>#REF!</f>
        <v>#REF!</v>
      </c>
      <c r="G72" s="161" t="e">
        <f>#REF!</f>
        <v>#REF!</v>
      </c>
      <c r="H72" s="161" t="e">
        <f>#REF!</f>
        <v>#REF!</v>
      </c>
    </row>
    <row r="73" spans="1:8" x14ac:dyDescent="0.3">
      <c r="A73" s="161" t="e">
        <f>#REF!</f>
        <v>#REF!</v>
      </c>
      <c r="B73" s="161" t="e">
        <f>#REF!</f>
        <v>#REF!</v>
      </c>
      <c r="C73" s="161" t="e">
        <f>#REF!</f>
        <v>#REF!</v>
      </c>
      <c r="D73" s="161" t="e">
        <f>#REF!</f>
        <v>#REF!</v>
      </c>
      <c r="E73" s="161" t="e">
        <f>#REF!</f>
        <v>#REF!</v>
      </c>
      <c r="F73" s="161" t="e">
        <f>#REF!</f>
        <v>#REF!</v>
      </c>
      <c r="G73" s="161" t="e">
        <f>#REF!</f>
        <v>#REF!</v>
      </c>
      <c r="H73" s="161" t="e">
        <f>#REF!</f>
        <v>#REF!</v>
      </c>
    </row>
    <row r="74" spans="1:8" x14ac:dyDescent="0.3">
      <c r="A74" s="161" t="e">
        <f>#REF!</f>
        <v>#REF!</v>
      </c>
      <c r="B74" s="161" t="e">
        <f>#REF!</f>
        <v>#REF!</v>
      </c>
      <c r="C74" s="161" t="e">
        <f>#REF!</f>
        <v>#REF!</v>
      </c>
      <c r="D74" s="161" t="e">
        <f>#REF!</f>
        <v>#REF!</v>
      </c>
      <c r="E74" s="161" t="e">
        <f>#REF!</f>
        <v>#REF!</v>
      </c>
      <c r="F74" s="161" t="e">
        <f>#REF!</f>
        <v>#REF!</v>
      </c>
      <c r="G74" s="161" t="e">
        <f>#REF!</f>
        <v>#REF!</v>
      </c>
      <c r="H74" s="161" t="e">
        <f>#REF!</f>
        <v>#REF!</v>
      </c>
    </row>
    <row r="75" spans="1:8" x14ac:dyDescent="0.3">
      <c r="A75" s="161" t="e">
        <f>#REF!</f>
        <v>#REF!</v>
      </c>
      <c r="B75" s="161" t="e">
        <f>#REF!</f>
        <v>#REF!</v>
      </c>
      <c r="C75" s="161" t="e">
        <f>#REF!</f>
        <v>#REF!</v>
      </c>
      <c r="D75" s="161" t="e">
        <f>#REF!</f>
        <v>#REF!</v>
      </c>
      <c r="E75" s="161" t="e">
        <f>#REF!</f>
        <v>#REF!</v>
      </c>
      <c r="F75" s="161" t="e">
        <f>#REF!</f>
        <v>#REF!</v>
      </c>
      <c r="G75" s="161" t="e">
        <f>#REF!</f>
        <v>#REF!</v>
      </c>
      <c r="H75" s="161" t="e">
        <f>#REF!</f>
        <v>#REF!</v>
      </c>
    </row>
    <row r="76" spans="1:8" x14ac:dyDescent="0.3">
      <c r="A76" s="161" t="e">
        <f>#REF!</f>
        <v>#REF!</v>
      </c>
      <c r="B76" s="161" t="e">
        <f>#REF!</f>
        <v>#REF!</v>
      </c>
      <c r="C76" s="161" t="e">
        <f>#REF!</f>
        <v>#REF!</v>
      </c>
      <c r="D76" s="161" t="e">
        <f>#REF!</f>
        <v>#REF!</v>
      </c>
      <c r="E76" s="161" t="e">
        <f>#REF!</f>
        <v>#REF!</v>
      </c>
      <c r="F76" s="161" t="e">
        <f>#REF!</f>
        <v>#REF!</v>
      </c>
      <c r="G76" s="161" t="e">
        <f>#REF!</f>
        <v>#REF!</v>
      </c>
      <c r="H76" s="161" t="e">
        <f>#REF!</f>
        <v>#REF!</v>
      </c>
    </row>
    <row r="77" spans="1:8" x14ac:dyDescent="0.3">
      <c r="A77" s="161" t="e">
        <f>#REF!</f>
        <v>#REF!</v>
      </c>
      <c r="B77" s="161" t="e">
        <f>#REF!</f>
        <v>#REF!</v>
      </c>
      <c r="C77" s="161" t="e">
        <f>#REF!</f>
        <v>#REF!</v>
      </c>
      <c r="D77" s="161" t="e">
        <f>#REF!</f>
        <v>#REF!</v>
      </c>
      <c r="E77" s="161" t="e">
        <f>#REF!</f>
        <v>#REF!</v>
      </c>
      <c r="F77" s="161" t="e">
        <f>#REF!</f>
        <v>#REF!</v>
      </c>
      <c r="G77" s="161" t="e">
        <f>#REF!</f>
        <v>#REF!</v>
      </c>
      <c r="H77" s="161" t="e">
        <f>#REF!</f>
        <v>#REF!</v>
      </c>
    </row>
    <row r="78" spans="1:8" x14ac:dyDescent="0.3">
      <c r="A78" s="161" t="e">
        <f>#REF!</f>
        <v>#REF!</v>
      </c>
      <c r="B78" s="161" t="e">
        <f>#REF!</f>
        <v>#REF!</v>
      </c>
      <c r="C78" s="161" t="e">
        <f>#REF!</f>
        <v>#REF!</v>
      </c>
      <c r="D78" s="161" t="e">
        <f>#REF!</f>
        <v>#REF!</v>
      </c>
      <c r="E78" s="161" t="e">
        <f>#REF!</f>
        <v>#REF!</v>
      </c>
      <c r="F78" s="161" t="e">
        <f>#REF!</f>
        <v>#REF!</v>
      </c>
      <c r="G78" s="161" t="e">
        <f>#REF!</f>
        <v>#REF!</v>
      </c>
      <c r="H78" s="161" t="e">
        <f>#REF!</f>
        <v>#REF!</v>
      </c>
    </row>
    <row r="79" spans="1:8" x14ac:dyDescent="0.3">
      <c r="A79" s="161" t="e">
        <f>#REF!</f>
        <v>#REF!</v>
      </c>
      <c r="B79" s="161" t="e">
        <f>#REF!</f>
        <v>#REF!</v>
      </c>
      <c r="C79" s="161" t="e">
        <f>#REF!</f>
        <v>#REF!</v>
      </c>
      <c r="D79" s="161" t="e">
        <f>#REF!</f>
        <v>#REF!</v>
      </c>
      <c r="E79" s="161" t="e">
        <f>#REF!</f>
        <v>#REF!</v>
      </c>
      <c r="F79" s="161" t="e">
        <f>#REF!</f>
        <v>#REF!</v>
      </c>
      <c r="G79" s="161" t="e">
        <f>#REF!</f>
        <v>#REF!</v>
      </c>
      <c r="H79" s="161" t="e">
        <f>#REF!</f>
        <v>#REF!</v>
      </c>
    </row>
    <row r="80" spans="1:8" x14ac:dyDescent="0.3">
      <c r="A80" s="161" t="e">
        <f>#REF!</f>
        <v>#REF!</v>
      </c>
      <c r="B80" s="161" t="e">
        <f>#REF!</f>
        <v>#REF!</v>
      </c>
      <c r="C80" s="161" t="e">
        <f>#REF!</f>
        <v>#REF!</v>
      </c>
      <c r="D80" s="161" t="e">
        <f>#REF!</f>
        <v>#REF!</v>
      </c>
      <c r="E80" s="161" t="e">
        <f>#REF!</f>
        <v>#REF!</v>
      </c>
      <c r="F80" s="161" t="e">
        <f>#REF!</f>
        <v>#REF!</v>
      </c>
      <c r="G80" s="161" t="e">
        <f>#REF!</f>
        <v>#REF!</v>
      </c>
      <c r="H80" s="161" t="e">
        <f>#REF!</f>
        <v>#REF!</v>
      </c>
    </row>
    <row r="81" spans="1:8" x14ac:dyDescent="0.3">
      <c r="A81" s="161" t="e">
        <f>#REF!</f>
        <v>#REF!</v>
      </c>
      <c r="B81" s="161" t="e">
        <f>#REF!</f>
        <v>#REF!</v>
      </c>
      <c r="C81" s="161" t="e">
        <f>#REF!</f>
        <v>#REF!</v>
      </c>
      <c r="D81" s="161" t="e">
        <f>#REF!</f>
        <v>#REF!</v>
      </c>
      <c r="E81" s="161" t="e">
        <f>#REF!</f>
        <v>#REF!</v>
      </c>
      <c r="F81" s="161" t="e">
        <f>#REF!</f>
        <v>#REF!</v>
      </c>
      <c r="G81" s="161" t="e">
        <f>#REF!</f>
        <v>#REF!</v>
      </c>
      <c r="H81" s="161" t="e">
        <f>#REF!</f>
        <v>#REF!</v>
      </c>
    </row>
    <row r="82" spans="1:8" x14ac:dyDescent="0.3">
      <c r="A82" s="161" t="e">
        <f>#REF!</f>
        <v>#REF!</v>
      </c>
      <c r="B82" s="161" t="e">
        <f>#REF!</f>
        <v>#REF!</v>
      </c>
      <c r="C82" s="161" t="e">
        <f>#REF!</f>
        <v>#REF!</v>
      </c>
      <c r="D82" s="161" t="e">
        <f>#REF!</f>
        <v>#REF!</v>
      </c>
      <c r="E82" s="161" t="e">
        <f>#REF!</f>
        <v>#REF!</v>
      </c>
      <c r="F82" s="161" t="e">
        <f>#REF!</f>
        <v>#REF!</v>
      </c>
      <c r="G82" s="161" t="e">
        <f>#REF!</f>
        <v>#REF!</v>
      </c>
      <c r="H82" s="161" t="e">
        <f>#REF!</f>
        <v>#REF!</v>
      </c>
    </row>
    <row r="83" spans="1:8" x14ac:dyDescent="0.3">
      <c r="A83" s="161" t="e">
        <f>#REF!</f>
        <v>#REF!</v>
      </c>
      <c r="B83" s="161" t="e">
        <f>#REF!</f>
        <v>#REF!</v>
      </c>
      <c r="C83" s="161" t="e">
        <f>#REF!</f>
        <v>#REF!</v>
      </c>
      <c r="D83" s="161" t="e">
        <f>#REF!</f>
        <v>#REF!</v>
      </c>
      <c r="E83" s="161" t="e">
        <f>#REF!</f>
        <v>#REF!</v>
      </c>
      <c r="F83" s="161" t="e">
        <f>#REF!</f>
        <v>#REF!</v>
      </c>
      <c r="G83" s="161" t="e">
        <f>#REF!</f>
        <v>#REF!</v>
      </c>
      <c r="H83" s="161" t="e">
        <f>#REF!</f>
        <v>#REF!</v>
      </c>
    </row>
    <row r="84" spans="1:8" x14ac:dyDescent="0.3">
      <c r="A84" s="161" t="e">
        <f>#REF!</f>
        <v>#REF!</v>
      </c>
      <c r="B84" s="161" t="e">
        <f>#REF!</f>
        <v>#REF!</v>
      </c>
      <c r="C84" s="161" t="e">
        <f>#REF!</f>
        <v>#REF!</v>
      </c>
      <c r="D84" s="161" t="e">
        <f>#REF!</f>
        <v>#REF!</v>
      </c>
      <c r="E84" s="161" t="e">
        <f>#REF!</f>
        <v>#REF!</v>
      </c>
      <c r="F84" s="161" t="e">
        <f>#REF!</f>
        <v>#REF!</v>
      </c>
      <c r="G84" s="161" t="e">
        <f>#REF!</f>
        <v>#REF!</v>
      </c>
      <c r="H84" s="161" t="e">
        <f>#REF!</f>
        <v>#REF!</v>
      </c>
    </row>
    <row r="85" spans="1:8" x14ac:dyDescent="0.3">
      <c r="A85" s="161" t="e">
        <f>#REF!</f>
        <v>#REF!</v>
      </c>
      <c r="B85" s="161" t="e">
        <f>#REF!</f>
        <v>#REF!</v>
      </c>
      <c r="C85" s="161" t="e">
        <f>#REF!</f>
        <v>#REF!</v>
      </c>
      <c r="D85" s="161" t="e">
        <f>#REF!</f>
        <v>#REF!</v>
      </c>
      <c r="E85" s="161" t="e">
        <f>#REF!</f>
        <v>#REF!</v>
      </c>
      <c r="F85" s="161" t="e">
        <f>#REF!</f>
        <v>#REF!</v>
      </c>
      <c r="G85" s="161" t="e">
        <f>#REF!</f>
        <v>#REF!</v>
      </c>
      <c r="H85" s="161" t="e">
        <f>#REF!</f>
        <v>#REF!</v>
      </c>
    </row>
    <row r="86" spans="1:8" x14ac:dyDescent="0.3">
      <c r="A86" s="161" t="e">
        <f>#REF!</f>
        <v>#REF!</v>
      </c>
      <c r="B86" s="161" t="e">
        <f>#REF!</f>
        <v>#REF!</v>
      </c>
      <c r="C86" s="161" t="e">
        <f>#REF!</f>
        <v>#REF!</v>
      </c>
      <c r="D86" s="161" t="e">
        <f>#REF!</f>
        <v>#REF!</v>
      </c>
      <c r="E86" s="161" t="e">
        <f>#REF!</f>
        <v>#REF!</v>
      </c>
      <c r="F86" s="161" t="e">
        <f>#REF!</f>
        <v>#REF!</v>
      </c>
      <c r="G86" s="161" t="e">
        <f>#REF!</f>
        <v>#REF!</v>
      </c>
      <c r="H86" s="161" t="e">
        <f>#REF!</f>
        <v>#REF!</v>
      </c>
    </row>
    <row r="87" spans="1:8" x14ac:dyDescent="0.3">
      <c r="A87" s="161" t="e">
        <f>#REF!</f>
        <v>#REF!</v>
      </c>
      <c r="B87" s="161" t="e">
        <f>#REF!</f>
        <v>#REF!</v>
      </c>
      <c r="C87" s="161" t="e">
        <f>#REF!</f>
        <v>#REF!</v>
      </c>
      <c r="D87" s="161" t="e">
        <f>#REF!</f>
        <v>#REF!</v>
      </c>
      <c r="E87" s="161" t="e">
        <f>#REF!</f>
        <v>#REF!</v>
      </c>
      <c r="F87" s="161" t="e">
        <f>#REF!</f>
        <v>#REF!</v>
      </c>
      <c r="G87" s="161" t="e">
        <f>#REF!</f>
        <v>#REF!</v>
      </c>
      <c r="H87" s="161" t="e">
        <f>#REF!</f>
        <v>#REF!</v>
      </c>
    </row>
    <row r="88" spans="1:8" x14ac:dyDescent="0.3">
      <c r="A88" s="161" t="e">
        <f>#REF!</f>
        <v>#REF!</v>
      </c>
      <c r="B88" s="161" t="e">
        <f>#REF!</f>
        <v>#REF!</v>
      </c>
      <c r="C88" s="161" t="e">
        <f>#REF!</f>
        <v>#REF!</v>
      </c>
      <c r="D88" s="161" t="e">
        <f>#REF!</f>
        <v>#REF!</v>
      </c>
      <c r="E88" s="161" t="e">
        <f>#REF!</f>
        <v>#REF!</v>
      </c>
      <c r="F88" s="161" t="e">
        <f>#REF!</f>
        <v>#REF!</v>
      </c>
      <c r="G88" s="161" t="e">
        <f>#REF!</f>
        <v>#REF!</v>
      </c>
      <c r="H88" s="161" t="e">
        <f>#REF!</f>
        <v>#REF!</v>
      </c>
    </row>
    <row r="89" spans="1:8" x14ac:dyDescent="0.3">
      <c r="A89" s="161" t="e">
        <f>#REF!</f>
        <v>#REF!</v>
      </c>
      <c r="B89" s="161" t="e">
        <f>#REF!</f>
        <v>#REF!</v>
      </c>
      <c r="C89" s="161" t="e">
        <f>#REF!</f>
        <v>#REF!</v>
      </c>
      <c r="D89" s="161" t="e">
        <f>#REF!</f>
        <v>#REF!</v>
      </c>
      <c r="E89" s="161" t="e">
        <f>#REF!</f>
        <v>#REF!</v>
      </c>
      <c r="F89" s="161" t="e">
        <f>#REF!</f>
        <v>#REF!</v>
      </c>
      <c r="G89" s="161" t="e">
        <f>#REF!</f>
        <v>#REF!</v>
      </c>
      <c r="H89" s="161" t="e">
        <f>#REF!</f>
        <v>#REF!</v>
      </c>
    </row>
    <row r="90" spans="1:8" x14ac:dyDescent="0.3">
      <c r="A90" s="161" t="e">
        <f>#REF!</f>
        <v>#REF!</v>
      </c>
      <c r="B90" s="161" t="e">
        <f>#REF!</f>
        <v>#REF!</v>
      </c>
      <c r="C90" s="161" t="e">
        <f>#REF!</f>
        <v>#REF!</v>
      </c>
      <c r="D90" s="161" t="e">
        <f>#REF!</f>
        <v>#REF!</v>
      </c>
      <c r="E90" s="161" t="e">
        <f>#REF!</f>
        <v>#REF!</v>
      </c>
      <c r="F90" s="161" t="e">
        <f>#REF!</f>
        <v>#REF!</v>
      </c>
      <c r="G90" s="161" t="e">
        <f>#REF!</f>
        <v>#REF!</v>
      </c>
      <c r="H90" s="161" t="e">
        <f>#REF!</f>
        <v>#REF!</v>
      </c>
    </row>
    <row r="91" spans="1:8" x14ac:dyDescent="0.3">
      <c r="A91" s="161" t="e">
        <f>#REF!</f>
        <v>#REF!</v>
      </c>
      <c r="B91" s="161" t="e">
        <f>#REF!</f>
        <v>#REF!</v>
      </c>
      <c r="C91" s="161" t="e">
        <f>#REF!</f>
        <v>#REF!</v>
      </c>
      <c r="D91" s="161" t="e">
        <f>#REF!</f>
        <v>#REF!</v>
      </c>
      <c r="E91" s="161" t="e">
        <f>#REF!</f>
        <v>#REF!</v>
      </c>
      <c r="F91" s="161" t="e">
        <f>#REF!</f>
        <v>#REF!</v>
      </c>
      <c r="G91" s="161" t="e">
        <f>#REF!</f>
        <v>#REF!</v>
      </c>
      <c r="H91" s="161" t="e">
        <f>#REF!</f>
        <v>#REF!</v>
      </c>
    </row>
    <row r="92" spans="1:8" x14ac:dyDescent="0.3">
      <c r="A92" s="161" t="e">
        <f>#REF!</f>
        <v>#REF!</v>
      </c>
      <c r="B92" s="161" t="e">
        <f>#REF!</f>
        <v>#REF!</v>
      </c>
      <c r="C92" s="161" t="e">
        <f>#REF!</f>
        <v>#REF!</v>
      </c>
      <c r="D92" s="161" t="e">
        <f>#REF!</f>
        <v>#REF!</v>
      </c>
      <c r="E92" s="161" t="e">
        <f>#REF!</f>
        <v>#REF!</v>
      </c>
      <c r="F92" s="161" t="e">
        <f>#REF!</f>
        <v>#REF!</v>
      </c>
      <c r="G92" s="161" t="e">
        <f>#REF!</f>
        <v>#REF!</v>
      </c>
      <c r="H92" s="161" t="e">
        <f>#REF!</f>
        <v>#REF!</v>
      </c>
    </row>
    <row r="93" spans="1:8" x14ac:dyDescent="0.3">
      <c r="A93" s="161" t="e">
        <f>#REF!</f>
        <v>#REF!</v>
      </c>
      <c r="B93" s="161" t="e">
        <f>#REF!</f>
        <v>#REF!</v>
      </c>
      <c r="C93" s="161" t="e">
        <f>#REF!</f>
        <v>#REF!</v>
      </c>
      <c r="D93" s="161" t="e">
        <f>#REF!</f>
        <v>#REF!</v>
      </c>
      <c r="E93" s="161" t="e">
        <f>#REF!</f>
        <v>#REF!</v>
      </c>
      <c r="F93" s="161" t="e">
        <f>#REF!</f>
        <v>#REF!</v>
      </c>
      <c r="G93" s="161" t="e">
        <f>#REF!</f>
        <v>#REF!</v>
      </c>
      <c r="H93" s="161" t="e">
        <f>#REF!</f>
        <v>#REF!</v>
      </c>
    </row>
    <row r="94" spans="1:8" x14ac:dyDescent="0.3">
      <c r="A94" s="161" t="e">
        <f>#REF!</f>
        <v>#REF!</v>
      </c>
      <c r="B94" s="161" t="e">
        <f>#REF!</f>
        <v>#REF!</v>
      </c>
      <c r="C94" s="161" t="e">
        <f>#REF!</f>
        <v>#REF!</v>
      </c>
      <c r="D94" s="161" t="e">
        <f>#REF!</f>
        <v>#REF!</v>
      </c>
      <c r="E94" s="161" t="e">
        <f>#REF!</f>
        <v>#REF!</v>
      </c>
      <c r="F94" s="161" t="e">
        <f>#REF!</f>
        <v>#REF!</v>
      </c>
      <c r="G94" s="161" t="e">
        <f>#REF!</f>
        <v>#REF!</v>
      </c>
      <c r="H94" s="161" t="e">
        <f>#REF!</f>
        <v>#REF!</v>
      </c>
    </row>
    <row r="95" spans="1:8" x14ac:dyDescent="0.3">
      <c r="A95" s="161" t="e">
        <f>#REF!</f>
        <v>#REF!</v>
      </c>
      <c r="B95" s="161" t="e">
        <f>#REF!</f>
        <v>#REF!</v>
      </c>
      <c r="C95" s="161" t="e">
        <f>#REF!</f>
        <v>#REF!</v>
      </c>
      <c r="D95" s="161" t="e">
        <f>#REF!</f>
        <v>#REF!</v>
      </c>
      <c r="E95" s="161" t="e">
        <f>#REF!</f>
        <v>#REF!</v>
      </c>
      <c r="F95" s="161" t="e">
        <f>#REF!</f>
        <v>#REF!</v>
      </c>
      <c r="G95" s="161" t="e">
        <f>#REF!</f>
        <v>#REF!</v>
      </c>
      <c r="H95" s="161" t="e">
        <f>#REF!</f>
        <v>#REF!</v>
      </c>
    </row>
    <row r="96" spans="1:8" x14ac:dyDescent="0.3">
      <c r="A96" s="161" t="e">
        <f>#REF!</f>
        <v>#REF!</v>
      </c>
      <c r="B96" s="161" t="e">
        <f>#REF!</f>
        <v>#REF!</v>
      </c>
      <c r="C96" s="161" t="e">
        <f>#REF!</f>
        <v>#REF!</v>
      </c>
      <c r="D96" s="161" t="e">
        <f>#REF!</f>
        <v>#REF!</v>
      </c>
      <c r="E96" s="161" t="e">
        <f>#REF!</f>
        <v>#REF!</v>
      </c>
      <c r="F96" s="161" t="e">
        <f>#REF!</f>
        <v>#REF!</v>
      </c>
      <c r="G96" s="161" t="e">
        <f>#REF!</f>
        <v>#REF!</v>
      </c>
      <c r="H96" s="161" t="e">
        <f>#REF!</f>
        <v>#REF!</v>
      </c>
    </row>
    <row r="97" spans="1:8" x14ac:dyDescent="0.3">
      <c r="A97" s="161" t="e">
        <f>#REF!</f>
        <v>#REF!</v>
      </c>
      <c r="B97" s="161" t="e">
        <f>#REF!</f>
        <v>#REF!</v>
      </c>
      <c r="C97" s="161" t="e">
        <f>#REF!</f>
        <v>#REF!</v>
      </c>
      <c r="D97" s="161" t="e">
        <f>#REF!</f>
        <v>#REF!</v>
      </c>
      <c r="E97" s="161" t="e">
        <f>#REF!</f>
        <v>#REF!</v>
      </c>
      <c r="F97" s="161" t="e">
        <f>#REF!</f>
        <v>#REF!</v>
      </c>
      <c r="G97" s="161" t="e">
        <f>#REF!</f>
        <v>#REF!</v>
      </c>
      <c r="H97" s="161" t="e">
        <f>#REF!</f>
        <v>#REF!</v>
      </c>
    </row>
    <row r="98" spans="1:8" x14ac:dyDescent="0.3">
      <c r="A98" s="161" t="e">
        <f>#REF!</f>
        <v>#REF!</v>
      </c>
      <c r="B98" s="161" t="e">
        <f>#REF!</f>
        <v>#REF!</v>
      </c>
      <c r="C98" s="161" t="e">
        <f>#REF!</f>
        <v>#REF!</v>
      </c>
      <c r="D98" s="161" t="e">
        <f>#REF!</f>
        <v>#REF!</v>
      </c>
      <c r="E98" s="161" t="e">
        <f>#REF!</f>
        <v>#REF!</v>
      </c>
      <c r="F98" s="161" t="e">
        <f>#REF!</f>
        <v>#REF!</v>
      </c>
      <c r="G98" s="161" t="e">
        <f>#REF!</f>
        <v>#REF!</v>
      </c>
      <c r="H98" s="161" t="e">
        <f>#REF!</f>
        <v>#REF!</v>
      </c>
    </row>
    <row r="99" spans="1:8" x14ac:dyDescent="0.3">
      <c r="A99" s="161" t="e">
        <f>#REF!</f>
        <v>#REF!</v>
      </c>
      <c r="B99" s="161" t="e">
        <f>#REF!</f>
        <v>#REF!</v>
      </c>
      <c r="C99" s="161" t="e">
        <f>#REF!</f>
        <v>#REF!</v>
      </c>
      <c r="D99" s="161" t="e">
        <f>#REF!</f>
        <v>#REF!</v>
      </c>
      <c r="E99" s="161" t="e">
        <f>#REF!</f>
        <v>#REF!</v>
      </c>
      <c r="F99" s="161" t="e">
        <f>#REF!</f>
        <v>#REF!</v>
      </c>
      <c r="G99" s="161" t="e">
        <f>#REF!</f>
        <v>#REF!</v>
      </c>
      <c r="H99" s="161" t="e">
        <f>#REF!</f>
        <v>#REF!</v>
      </c>
    </row>
    <row r="100" spans="1:8" x14ac:dyDescent="0.3">
      <c r="A100" s="161" t="e">
        <f>#REF!</f>
        <v>#REF!</v>
      </c>
      <c r="B100" s="161" t="e">
        <f>#REF!</f>
        <v>#REF!</v>
      </c>
      <c r="C100" s="161" t="e">
        <f>#REF!</f>
        <v>#REF!</v>
      </c>
      <c r="D100" s="161" t="e">
        <f>#REF!</f>
        <v>#REF!</v>
      </c>
      <c r="E100" s="161" t="e">
        <f>#REF!</f>
        <v>#REF!</v>
      </c>
      <c r="F100" s="161" t="e">
        <f>#REF!</f>
        <v>#REF!</v>
      </c>
      <c r="G100" s="161" t="e">
        <f>#REF!</f>
        <v>#REF!</v>
      </c>
      <c r="H100" s="161" t="e">
        <f>#REF!</f>
        <v>#REF!</v>
      </c>
    </row>
    <row r="101" spans="1:8" x14ac:dyDescent="0.3">
      <c r="A101" s="161" t="e">
        <f>#REF!</f>
        <v>#REF!</v>
      </c>
      <c r="B101" s="161" t="e">
        <f>#REF!</f>
        <v>#REF!</v>
      </c>
      <c r="C101" s="161" t="e">
        <f>#REF!</f>
        <v>#REF!</v>
      </c>
      <c r="D101" s="161" t="e">
        <f>#REF!</f>
        <v>#REF!</v>
      </c>
      <c r="E101" s="161" t="e">
        <f>#REF!</f>
        <v>#REF!</v>
      </c>
      <c r="F101" s="161" t="e">
        <f>#REF!</f>
        <v>#REF!</v>
      </c>
      <c r="G101" s="161" t="e">
        <f>#REF!</f>
        <v>#REF!</v>
      </c>
      <c r="H101" s="161" t="e">
        <f>#REF!</f>
        <v>#REF!</v>
      </c>
    </row>
    <row r="102" spans="1:8" x14ac:dyDescent="0.3">
      <c r="A102" s="161" t="e">
        <f>#REF!</f>
        <v>#REF!</v>
      </c>
      <c r="B102" s="161" t="e">
        <f>#REF!</f>
        <v>#REF!</v>
      </c>
      <c r="C102" s="161" t="e">
        <f>#REF!</f>
        <v>#REF!</v>
      </c>
      <c r="D102" s="161" t="e">
        <f>#REF!</f>
        <v>#REF!</v>
      </c>
      <c r="E102" s="161" t="e">
        <f>#REF!</f>
        <v>#REF!</v>
      </c>
      <c r="F102" s="161" t="e">
        <f>#REF!</f>
        <v>#REF!</v>
      </c>
      <c r="G102" s="161" t="e">
        <f>#REF!</f>
        <v>#REF!</v>
      </c>
      <c r="H102" s="161" t="e">
        <f>#REF!</f>
        <v>#REF!</v>
      </c>
    </row>
    <row r="103" spans="1:8" x14ac:dyDescent="0.3">
      <c r="A103" s="161" t="e">
        <f>#REF!</f>
        <v>#REF!</v>
      </c>
      <c r="B103" s="161" t="e">
        <f>#REF!</f>
        <v>#REF!</v>
      </c>
      <c r="C103" s="161" t="e">
        <f>#REF!</f>
        <v>#REF!</v>
      </c>
      <c r="D103" s="161" t="e">
        <f>#REF!</f>
        <v>#REF!</v>
      </c>
      <c r="E103" s="161" t="e">
        <f>#REF!</f>
        <v>#REF!</v>
      </c>
      <c r="F103" s="161" t="e">
        <f>#REF!</f>
        <v>#REF!</v>
      </c>
      <c r="G103" s="161" t="e">
        <f>#REF!</f>
        <v>#REF!</v>
      </c>
      <c r="H103" s="161" t="e">
        <f>#REF!</f>
        <v>#REF!</v>
      </c>
    </row>
    <row r="104" spans="1:8" x14ac:dyDescent="0.3">
      <c r="A104" s="161" t="e">
        <f>#REF!</f>
        <v>#REF!</v>
      </c>
      <c r="B104" s="161" t="e">
        <f>#REF!</f>
        <v>#REF!</v>
      </c>
      <c r="C104" s="161" t="e">
        <f>#REF!</f>
        <v>#REF!</v>
      </c>
      <c r="D104" s="161" t="e">
        <f>#REF!</f>
        <v>#REF!</v>
      </c>
      <c r="E104" s="161" t="e">
        <f>#REF!</f>
        <v>#REF!</v>
      </c>
      <c r="F104" s="161" t="e">
        <f>#REF!</f>
        <v>#REF!</v>
      </c>
      <c r="G104" s="161" t="e">
        <f>#REF!</f>
        <v>#REF!</v>
      </c>
      <c r="H104" s="161" t="e">
        <f>#REF!</f>
        <v>#REF!</v>
      </c>
    </row>
    <row r="105" spans="1:8" x14ac:dyDescent="0.3">
      <c r="A105" s="161" t="e">
        <f>#REF!</f>
        <v>#REF!</v>
      </c>
      <c r="B105" s="161" t="e">
        <f>#REF!</f>
        <v>#REF!</v>
      </c>
      <c r="C105" s="161" t="e">
        <f>#REF!</f>
        <v>#REF!</v>
      </c>
      <c r="D105" s="161" t="e">
        <f>#REF!</f>
        <v>#REF!</v>
      </c>
      <c r="E105" s="161" t="e">
        <f>#REF!</f>
        <v>#REF!</v>
      </c>
      <c r="F105" s="161" t="e">
        <f>#REF!</f>
        <v>#REF!</v>
      </c>
      <c r="G105" s="161" t="e">
        <f>#REF!</f>
        <v>#REF!</v>
      </c>
      <c r="H105" s="161" t="e">
        <f>#REF!</f>
        <v>#REF!</v>
      </c>
    </row>
    <row r="106" spans="1:8" x14ac:dyDescent="0.3">
      <c r="A106" s="161" t="e">
        <f>#REF!</f>
        <v>#REF!</v>
      </c>
      <c r="B106" s="161" t="e">
        <f>#REF!</f>
        <v>#REF!</v>
      </c>
      <c r="C106" s="161" t="e">
        <f>#REF!</f>
        <v>#REF!</v>
      </c>
      <c r="D106" s="161" t="e">
        <f>#REF!</f>
        <v>#REF!</v>
      </c>
      <c r="E106" s="161" t="e">
        <f>#REF!</f>
        <v>#REF!</v>
      </c>
      <c r="F106" s="161" t="e">
        <f>#REF!</f>
        <v>#REF!</v>
      </c>
      <c r="G106" s="161" t="e">
        <f>#REF!</f>
        <v>#REF!</v>
      </c>
      <c r="H106" s="161" t="e">
        <f>#REF!</f>
        <v>#REF!</v>
      </c>
    </row>
    <row r="107" spans="1:8" x14ac:dyDescent="0.3">
      <c r="A107" s="161" t="e">
        <f>#REF!</f>
        <v>#REF!</v>
      </c>
      <c r="B107" s="161" t="e">
        <f>#REF!</f>
        <v>#REF!</v>
      </c>
      <c r="C107" s="161" t="e">
        <f>#REF!</f>
        <v>#REF!</v>
      </c>
      <c r="D107" s="161" t="e">
        <f>#REF!</f>
        <v>#REF!</v>
      </c>
      <c r="E107" s="161" t="e">
        <f>#REF!</f>
        <v>#REF!</v>
      </c>
      <c r="F107" s="161" t="e">
        <f>#REF!</f>
        <v>#REF!</v>
      </c>
      <c r="G107" s="161" t="e">
        <f>#REF!</f>
        <v>#REF!</v>
      </c>
      <c r="H107" s="161" t="e">
        <f>#REF!</f>
        <v>#REF!</v>
      </c>
    </row>
    <row r="108" spans="1:8" x14ac:dyDescent="0.3">
      <c r="A108" s="161" t="e">
        <f>#REF!</f>
        <v>#REF!</v>
      </c>
      <c r="B108" s="161" t="e">
        <f>#REF!</f>
        <v>#REF!</v>
      </c>
      <c r="C108" s="161" t="e">
        <f>#REF!</f>
        <v>#REF!</v>
      </c>
      <c r="D108" s="161" t="e">
        <f>#REF!</f>
        <v>#REF!</v>
      </c>
      <c r="E108" s="161" t="e">
        <f>#REF!</f>
        <v>#REF!</v>
      </c>
      <c r="F108" s="161" t="e">
        <f>#REF!</f>
        <v>#REF!</v>
      </c>
      <c r="G108" s="161" t="e">
        <f>#REF!</f>
        <v>#REF!</v>
      </c>
      <c r="H108" s="161" t="e">
        <f>#REF!</f>
        <v>#REF!</v>
      </c>
    </row>
    <row r="109" spans="1:8" x14ac:dyDescent="0.3">
      <c r="A109" s="161" t="e">
        <f>#REF!</f>
        <v>#REF!</v>
      </c>
      <c r="B109" s="161" t="e">
        <f>#REF!</f>
        <v>#REF!</v>
      </c>
      <c r="C109" s="161" t="e">
        <f>#REF!</f>
        <v>#REF!</v>
      </c>
      <c r="D109" s="161" t="e">
        <f>#REF!</f>
        <v>#REF!</v>
      </c>
      <c r="E109" s="161" t="e">
        <f>#REF!</f>
        <v>#REF!</v>
      </c>
      <c r="F109" s="161" t="e">
        <f>#REF!</f>
        <v>#REF!</v>
      </c>
      <c r="G109" s="161" t="e">
        <f>#REF!</f>
        <v>#REF!</v>
      </c>
      <c r="H109" s="161" t="e">
        <f>#REF!</f>
        <v>#REF!</v>
      </c>
    </row>
    <row r="110" spans="1:8" x14ac:dyDescent="0.3">
      <c r="A110" s="161" t="e">
        <f>#REF!</f>
        <v>#REF!</v>
      </c>
      <c r="B110" s="161" t="e">
        <f>#REF!</f>
        <v>#REF!</v>
      </c>
      <c r="C110" s="161" t="e">
        <f>#REF!</f>
        <v>#REF!</v>
      </c>
      <c r="D110" s="161" t="e">
        <f>#REF!</f>
        <v>#REF!</v>
      </c>
      <c r="E110" s="161" t="e">
        <f>#REF!</f>
        <v>#REF!</v>
      </c>
      <c r="F110" s="161" t="e">
        <f>#REF!</f>
        <v>#REF!</v>
      </c>
      <c r="G110" s="161" t="e">
        <f>#REF!</f>
        <v>#REF!</v>
      </c>
      <c r="H110" s="161" t="e">
        <f>#REF!</f>
        <v>#REF!</v>
      </c>
    </row>
    <row r="111" spans="1:8" x14ac:dyDescent="0.3">
      <c r="A111" s="161" t="e">
        <f>#REF!</f>
        <v>#REF!</v>
      </c>
      <c r="B111" s="161" t="e">
        <f>#REF!</f>
        <v>#REF!</v>
      </c>
      <c r="C111" s="161" t="e">
        <f>#REF!</f>
        <v>#REF!</v>
      </c>
      <c r="D111" s="161" t="e">
        <f>#REF!</f>
        <v>#REF!</v>
      </c>
      <c r="E111" s="161" t="e">
        <f>#REF!</f>
        <v>#REF!</v>
      </c>
      <c r="F111" s="161" t="e">
        <f>#REF!</f>
        <v>#REF!</v>
      </c>
      <c r="G111" s="161" t="e">
        <f>#REF!</f>
        <v>#REF!</v>
      </c>
      <c r="H111" s="161" t="e">
        <f>#REF!</f>
        <v>#REF!</v>
      </c>
    </row>
    <row r="112" spans="1:8" x14ac:dyDescent="0.3">
      <c r="A112" s="161" t="e">
        <f>#REF!</f>
        <v>#REF!</v>
      </c>
      <c r="B112" s="161" t="e">
        <f>#REF!</f>
        <v>#REF!</v>
      </c>
      <c r="C112" s="161" t="e">
        <f>#REF!</f>
        <v>#REF!</v>
      </c>
      <c r="D112" s="161" t="e">
        <f>#REF!</f>
        <v>#REF!</v>
      </c>
      <c r="E112" s="161" t="e">
        <f>#REF!</f>
        <v>#REF!</v>
      </c>
      <c r="F112" s="161" t="e">
        <f>#REF!</f>
        <v>#REF!</v>
      </c>
      <c r="G112" s="161" t="e">
        <f>#REF!</f>
        <v>#REF!</v>
      </c>
      <c r="H112" s="161" t="e">
        <f>#REF!</f>
        <v>#REF!</v>
      </c>
    </row>
    <row r="113" spans="1:8" x14ac:dyDescent="0.3">
      <c r="A113" s="161" t="e">
        <f>#REF!</f>
        <v>#REF!</v>
      </c>
      <c r="B113" s="161" t="e">
        <f>#REF!</f>
        <v>#REF!</v>
      </c>
      <c r="C113" s="161" t="e">
        <f>#REF!</f>
        <v>#REF!</v>
      </c>
      <c r="D113" s="161" t="e">
        <f>#REF!</f>
        <v>#REF!</v>
      </c>
      <c r="E113" s="161" t="e">
        <f>#REF!</f>
        <v>#REF!</v>
      </c>
      <c r="F113" s="161" t="e">
        <f>#REF!</f>
        <v>#REF!</v>
      </c>
      <c r="G113" s="161" t="e">
        <f>#REF!</f>
        <v>#REF!</v>
      </c>
      <c r="H113" s="161" t="e">
        <f>#REF!</f>
        <v>#REF!</v>
      </c>
    </row>
    <row r="114" spans="1:8" x14ac:dyDescent="0.3">
      <c r="A114" s="161" t="e">
        <f>#REF!</f>
        <v>#REF!</v>
      </c>
      <c r="B114" s="161" t="e">
        <f>#REF!</f>
        <v>#REF!</v>
      </c>
      <c r="C114" s="161" t="e">
        <f>#REF!</f>
        <v>#REF!</v>
      </c>
      <c r="D114" s="161" t="e">
        <f>#REF!</f>
        <v>#REF!</v>
      </c>
      <c r="E114" s="161" t="e">
        <f>#REF!</f>
        <v>#REF!</v>
      </c>
      <c r="F114" s="161" t="e">
        <f>#REF!</f>
        <v>#REF!</v>
      </c>
      <c r="G114" s="161" t="e">
        <f>#REF!</f>
        <v>#REF!</v>
      </c>
      <c r="H114" s="161" t="e">
        <f>#REF!</f>
        <v>#REF!</v>
      </c>
    </row>
    <row r="115" spans="1:8" x14ac:dyDescent="0.3">
      <c r="A115" s="161" t="e">
        <f>#REF!</f>
        <v>#REF!</v>
      </c>
      <c r="B115" s="161" t="e">
        <f>#REF!</f>
        <v>#REF!</v>
      </c>
      <c r="C115" s="161" t="e">
        <f>#REF!</f>
        <v>#REF!</v>
      </c>
      <c r="D115" s="161" t="e">
        <f>#REF!</f>
        <v>#REF!</v>
      </c>
      <c r="E115" s="161" t="e">
        <f>#REF!</f>
        <v>#REF!</v>
      </c>
      <c r="F115" s="161" t="e">
        <f>#REF!</f>
        <v>#REF!</v>
      </c>
      <c r="G115" s="161" t="e">
        <f>#REF!</f>
        <v>#REF!</v>
      </c>
      <c r="H115" s="161" t="e">
        <f>#REF!</f>
        <v>#REF!</v>
      </c>
    </row>
    <row r="116" spans="1:8" x14ac:dyDescent="0.3">
      <c r="A116" s="161" t="e">
        <f>#REF!</f>
        <v>#REF!</v>
      </c>
      <c r="B116" s="161" t="e">
        <f>#REF!</f>
        <v>#REF!</v>
      </c>
      <c r="C116" s="161" t="e">
        <f>#REF!</f>
        <v>#REF!</v>
      </c>
      <c r="D116" s="161" t="e">
        <f>#REF!</f>
        <v>#REF!</v>
      </c>
      <c r="E116" s="161" t="e">
        <f>#REF!</f>
        <v>#REF!</v>
      </c>
      <c r="F116" s="161" t="e">
        <f>#REF!</f>
        <v>#REF!</v>
      </c>
      <c r="G116" s="161" t="e">
        <f>#REF!</f>
        <v>#REF!</v>
      </c>
      <c r="H116" s="161" t="e">
        <f>#REF!</f>
        <v>#REF!</v>
      </c>
    </row>
    <row r="117" spans="1:8" x14ac:dyDescent="0.3">
      <c r="A117" s="161" t="e">
        <f>#REF!</f>
        <v>#REF!</v>
      </c>
      <c r="B117" s="161" t="e">
        <f>#REF!</f>
        <v>#REF!</v>
      </c>
      <c r="C117" s="161" t="e">
        <f>#REF!</f>
        <v>#REF!</v>
      </c>
      <c r="D117" s="161" t="e">
        <f>#REF!</f>
        <v>#REF!</v>
      </c>
      <c r="E117" s="161" t="e">
        <f>#REF!</f>
        <v>#REF!</v>
      </c>
      <c r="F117" s="161" t="e">
        <f>#REF!</f>
        <v>#REF!</v>
      </c>
      <c r="G117" s="161" t="e">
        <f>#REF!</f>
        <v>#REF!</v>
      </c>
      <c r="H117" s="161" t="e">
        <f>#REF!</f>
        <v>#REF!</v>
      </c>
    </row>
    <row r="118" spans="1:8" x14ac:dyDescent="0.3">
      <c r="A118" s="161" t="e">
        <f>#REF!</f>
        <v>#REF!</v>
      </c>
      <c r="B118" s="161" t="e">
        <f>#REF!</f>
        <v>#REF!</v>
      </c>
      <c r="C118" s="161" t="e">
        <f>#REF!</f>
        <v>#REF!</v>
      </c>
      <c r="D118" s="161" t="e">
        <f>#REF!</f>
        <v>#REF!</v>
      </c>
      <c r="E118" s="161" t="e">
        <f>#REF!</f>
        <v>#REF!</v>
      </c>
      <c r="F118" s="161" t="e">
        <f>#REF!</f>
        <v>#REF!</v>
      </c>
      <c r="G118" s="161" t="e">
        <f>#REF!</f>
        <v>#REF!</v>
      </c>
      <c r="H118" s="161" t="e">
        <f>#REF!</f>
        <v>#REF!</v>
      </c>
    </row>
    <row r="119" spans="1:8" x14ac:dyDescent="0.3">
      <c r="A119" s="161" t="e">
        <f>#REF!</f>
        <v>#REF!</v>
      </c>
      <c r="B119" s="161" t="e">
        <f>#REF!</f>
        <v>#REF!</v>
      </c>
      <c r="C119" s="161" t="e">
        <f>#REF!</f>
        <v>#REF!</v>
      </c>
      <c r="D119" s="161" t="e">
        <f>#REF!</f>
        <v>#REF!</v>
      </c>
      <c r="E119" s="161" t="e">
        <f>#REF!</f>
        <v>#REF!</v>
      </c>
      <c r="F119" s="161" t="e">
        <f>#REF!</f>
        <v>#REF!</v>
      </c>
      <c r="G119" s="161" t="e">
        <f>#REF!</f>
        <v>#REF!</v>
      </c>
      <c r="H119" s="161" t="e">
        <f>#REF!</f>
        <v>#REF!</v>
      </c>
    </row>
    <row r="120" spans="1:8" x14ac:dyDescent="0.3">
      <c r="A120" s="161" t="e">
        <f>#REF!</f>
        <v>#REF!</v>
      </c>
      <c r="B120" s="161" t="e">
        <f>#REF!</f>
        <v>#REF!</v>
      </c>
      <c r="C120" s="161" t="e">
        <f>#REF!</f>
        <v>#REF!</v>
      </c>
      <c r="D120" s="161" t="e">
        <f>#REF!</f>
        <v>#REF!</v>
      </c>
      <c r="E120" s="161" t="e">
        <f>#REF!</f>
        <v>#REF!</v>
      </c>
      <c r="F120" s="161" t="e">
        <f>#REF!</f>
        <v>#REF!</v>
      </c>
      <c r="G120" s="161" t="e">
        <f>#REF!</f>
        <v>#REF!</v>
      </c>
      <c r="H120" s="161" t="e">
        <f>#REF!</f>
        <v>#REF!</v>
      </c>
    </row>
    <row r="121" spans="1:8" x14ac:dyDescent="0.3">
      <c r="A121" s="161" t="e">
        <f>#REF!</f>
        <v>#REF!</v>
      </c>
      <c r="B121" s="161" t="e">
        <f>#REF!</f>
        <v>#REF!</v>
      </c>
      <c r="C121" s="161" t="e">
        <f>#REF!</f>
        <v>#REF!</v>
      </c>
      <c r="D121" s="161" t="e">
        <f>#REF!</f>
        <v>#REF!</v>
      </c>
      <c r="E121" s="161" t="e">
        <f>#REF!</f>
        <v>#REF!</v>
      </c>
      <c r="F121" s="161" t="e">
        <f>#REF!</f>
        <v>#REF!</v>
      </c>
      <c r="G121" s="161" t="e">
        <f>#REF!</f>
        <v>#REF!</v>
      </c>
      <c r="H121" s="161" t="e">
        <f>#REF!</f>
        <v>#REF!</v>
      </c>
    </row>
    <row r="122" spans="1:8" x14ac:dyDescent="0.3">
      <c r="A122" s="161" t="e">
        <f>#REF!</f>
        <v>#REF!</v>
      </c>
      <c r="B122" s="161" t="e">
        <f>#REF!</f>
        <v>#REF!</v>
      </c>
      <c r="C122" s="161" t="e">
        <f>#REF!</f>
        <v>#REF!</v>
      </c>
      <c r="D122" s="161" t="e">
        <f>#REF!</f>
        <v>#REF!</v>
      </c>
      <c r="E122" s="161" t="e">
        <f>#REF!</f>
        <v>#REF!</v>
      </c>
      <c r="F122" s="161" t="e">
        <f>#REF!</f>
        <v>#REF!</v>
      </c>
      <c r="G122" s="161" t="e">
        <f>#REF!</f>
        <v>#REF!</v>
      </c>
      <c r="H122" s="161" t="e">
        <f>#REF!</f>
        <v>#REF!</v>
      </c>
    </row>
    <row r="123" spans="1:8" x14ac:dyDescent="0.3">
      <c r="A123" s="161" t="e">
        <f>#REF!</f>
        <v>#REF!</v>
      </c>
      <c r="B123" s="161" t="e">
        <f>#REF!</f>
        <v>#REF!</v>
      </c>
      <c r="C123" s="161" t="e">
        <f>#REF!</f>
        <v>#REF!</v>
      </c>
      <c r="D123" s="161" t="e">
        <f>#REF!</f>
        <v>#REF!</v>
      </c>
      <c r="E123" s="161" t="e">
        <f>#REF!</f>
        <v>#REF!</v>
      </c>
      <c r="F123" s="161" t="e">
        <f>#REF!</f>
        <v>#REF!</v>
      </c>
      <c r="G123" s="161" t="e">
        <f>#REF!</f>
        <v>#REF!</v>
      </c>
      <c r="H123" s="161" t="e">
        <f>#REF!</f>
        <v>#REF!</v>
      </c>
    </row>
    <row r="124" spans="1:8" x14ac:dyDescent="0.3">
      <c r="A124" s="161" t="e">
        <f>#REF!</f>
        <v>#REF!</v>
      </c>
      <c r="B124" s="161" t="e">
        <f>#REF!</f>
        <v>#REF!</v>
      </c>
      <c r="C124" s="161" t="e">
        <f>#REF!</f>
        <v>#REF!</v>
      </c>
      <c r="D124" s="161" t="e">
        <f>#REF!</f>
        <v>#REF!</v>
      </c>
      <c r="E124" s="161" t="e">
        <f>#REF!</f>
        <v>#REF!</v>
      </c>
      <c r="F124" s="161" t="e">
        <f>#REF!</f>
        <v>#REF!</v>
      </c>
      <c r="G124" s="161" t="e">
        <f>#REF!</f>
        <v>#REF!</v>
      </c>
      <c r="H124" s="161" t="e">
        <f>#REF!</f>
        <v>#REF!</v>
      </c>
    </row>
    <row r="125" spans="1:8" x14ac:dyDescent="0.3">
      <c r="A125" s="161" t="e">
        <f>#REF!</f>
        <v>#REF!</v>
      </c>
      <c r="B125" s="161" t="e">
        <f>#REF!</f>
        <v>#REF!</v>
      </c>
      <c r="C125" s="161" t="e">
        <f>#REF!</f>
        <v>#REF!</v>
      </c>
      <c r="D125" s="161" t="e">
        <f>#REF!</f>
        <v>#REF!</v>
      </c>
      <c r="E125" s="161" t="e">
        <f>#REF!</f>
        <v>#REF!</v>
      </c>
      <c r="F125" s="161" t="e">
        <f>#REF!</f>
        <v>#REF!</v>
      </c>
      <c r="G125" s="161" t="e">
        <f>#REF!</f>
        <v>#REF!</v>
      </c>
      <c r="H125" s="161" t="e">
        <f>#REF!</f>
        <v>#REF!</v>
      </c>
    </row>
    <row r="126" spans="1:8" x14ac:dyDescent="0.3">
      <c r="A126" s="161" t="e">
        <f>#REF!</f>
        <v>#REF!</v>
      </c>
      <c r="B126" s="161" t="e">
        <f>#REF!</f>
        <v>#REF!</v>
      </c>
      <c r="C126" s="161" t="e">
        <f>#REF!</f>
        <v>#REF!</v>
      </c>
      <c r="D126" s="161" t="e">
        <f>#REF!</f>
        <v>#REF!</v>
      </c>
      <c r="E126" s="161" t="e">
        <f>#REF!</f>
        <v>#REF!</v>
      </c>
      <c r="F126" s="161" t="e">
        <f>#REF!</f>
        <v>#REF!</v>
      </c>
      <c r="G126" s="161" t="e">
        <f>#REF!</f>
        <v>#REF!</v>
      </c>
      <c r="H126" s="161" t="e">
        <f>#REF!</f>
        <v>#REF!</v>
      </c>
    </row>
    <row r="127" spans="1:8" x14ac:dyDescent="0.3">
      <c r="A127" s="161" t="e">
        <f>#REF!</f>
        <v>#REF!</v>
      </c>
      <c r="B127" s="161" t="e">
        <f>#REF!</f>
        <v>#REF!</v>
      </c>
      <c r="C127" s="161" t="e">
        <f>#REF!</f>
        <v>#REF!</v>
      </c>
      <c r="D127" s="161" t="e">
        <f>#REF!</f>
        <v>#REF!</v>
      </c>
      <c r="E127" s="161" t="e">
        <f>#REF!</f>
        <v>#REF!</v>
      </c>
      <c r="F127" s="161" t="e">
        <f>#REF!</f>
        <v>#REF!</v>
      </c>
      <c r="G127" s="161" t="e">
        <f>#REF!</f>
        <v>#REF!</v>
      </c>
      <c r="H127" s="161" t="e">
        <f>#REF!</f>
        <v>#REF!</v>
      </c>
    </row>
    <row r="128" spans="1:8" x14ac:dyDescent="0.3">
      <c r="A128" s="161" t="e">
        <f>#REF!</f>
        <v>#REF!</v>
      </c>
      <c r="B128" s="161" t="e">
        <f>#REF!</f>
        <v>#REF!</v>
      </c>
      <c r="C128" s="161" t="e">
        <f>#REF!</f>
        <v>#REF!</v>
      </c>
      <c r="D128" s="161" t="e">
        <f>#REF!</f>
        <v>#REF!</v>
      </c>
      <c r="E128" s="161" t="e">
        <f>#REF!</f>
        <v>#REF!</v>
      </c>
      <c r="F128" s="161" t="e">
        <f>#REF!</f>
        <v>#REF!</v>
      </c>
      <c r="G128" s="161" t="e">
        <f>#REF!</f>
        <v>#REF!</v>
      </c>
      <c r="H128" s="161" t="e">
        <f>#REF!</f>
        <v>#REF!</v>
      </c>
    </row>
    <row r="129" spans="1:8" x14ac:dyDescent="0.3">
      <c r="A129" s="161" t="e">
        <f>#REF!</f>
        <v>#REF!</v>
      </c>
      <c r="B129" s="161" t="e">
        <f>#REF!</f>
        <v>#REF!</v>
      </c>
      <c r="C129" s="161" t="e">
        <f>#REF!</f>
        <v>#REF!</v>
      </c>
      <c r="D129" s="161" t="e">
        <f>#REF!</f>
        <v>#REF!</v>
      </c>
      <c r="E129" s="161" t="e">
        <f>#REF!</f>
        <v>#REF!</v>
      </c>
      <c r="F129" s="161" t="e">
        <f>#REF!</f>
        <v>#REF!</v>
      </c>
      <c r="G129" s="161" t="e">
        <f>#REF!</f>
        <v>#REF!</v>
      </c>
      <c r="H129" s="161" t="e">
        <f>#REF!</f>
        <v>#REF!</v>
      </c>
    </row>
    <row r="130" spans="1:8" x14ac:dyDescent="0.3">
      <c r="A130" s="161" t="e">
        <f>#REF!</f>
        <v>#REF!</v>
      </c>
      <c r="B130" s="161" t="e">
        <f>#REF!</f>
        <v>#REF!</v>
      </c>
      <c r="C130" s="161" t="e">
        <f>#REF!</f>
        <v>#REF!</v>
      </c>
      <c r="D130" s="161" t="e">
        <f>#REF!</f>
        <v>#REF!</v>
      </c>
      <c r="E130" s="161" t="e">
        <f>#REF!</f>
        <v>#REF!</v>
      </c>
      <c r="F130" s="161" t="e">
        <f>#REF!</f>
        <v>#REF!</v>
      </c>
      <c r="G130" s="161" t="e">
        <f>#REF!</f>
        <v>#REF!</v>
      </c>
      <c r="H130" s="161" t="e">
        <f>#REF!</f>
        <v>#REF!</v>
      </c>
    </row>
    <row r="131" spans="1:8" x14ac:dyDescent="0.3">
      <c r="A131" s="161" t="e">
        <f>#REF!</f>
        <v>#REF!</v>
      </c>
      <c r="B131" s="161" t="e">
        <f>#REF!</f>
        <v>#REF!</v>
      </c>
      <c r="C131" s="161" t="e">
        <f>#REF!</f>
        <v>#REF!</v>
      </c>
      <c r="D131" s="161" t="e">
        <f>#REF!</f>
        <v>#REF!</v>
      </c>
      <c r="E131" s="161" t="e">
        <f>#REF!</f>
        <v>#REF!</v>
      </c>
      <c r="F131" s="161" t="e">
        <f>#REF!</f>
        <v>#REF!</v>
      </c>
      <c r="G131" s="161" t="e">
        <f>#REF!</f>
        <v>#REF!</v>
      </c>
      <c r="H131" s="161" t="e">
        <f>#REF!</f>
        <v>#REF!</v>
      </c>
    </row>
    <row r="132" spans="1:8" x14ac:dyDescent="0.3">
      <c r="A132" s="161" t="e">
        <f>#REF!</f>
        <v>#REF!</v>
      </c>
      <c r="B132" s="161" t="e">
        <f>#REF!</f>
        <v>#REF!</v>
      </c>
      <c r="C132" s="161" t="e">
        <f>#REF!</f>
        <v>#REF!</v>
      </c>
      <c r="D132" s="161" t="e">
        <f>#REF!</f>
        <v>#REF!</v>
      </c>
      <c r="E132" s="161" t="e">
        <f>#REF!</f>
        <v>#REF!</v>
      </c>
      <c r="F132" s="161" t="e">
        <f>#REF!</f>
        <v>#REF!</v>
      </c>
      <c r="G132" s="161" t="e">
        <f>#REF!</f>
        <v>#REF!</v>
      </c>
      <c r="H132" s="161" t="e">
        <f>#REF!</f>
        <v>#REF!</v>
      </c>
    </row>
    <row r="133" spans="1:8" x14ac:dyDescent="0.3">
      <c r="A133" s="161" t="e">
        <f>#REF!</f>
        <v>#REF!</v>
      </c>
      <c r="B133" s="161" t="e">
        <f>#REF!</f>
        <v>#REF!</v>
      </c>
      <c r="C133" s="161" t="e">
        <f>#REF!</f>
        <v>#REF!</v>
      </c>
      <c r="D133" s="161" t="e">
        <f>#REF!</f>
        <v>#REF!</v>
      </c>
      <c r="E133" s="161" t="e">
        <f>#REF!</f>
        <v>#REF!</v>
      </c>
      <c r="F133" s="161" t="e">
        <f>#REF!</f>
        <v>#REF!</v>
      </c>
      <c r="G133" s="161" t="e">
        <f>#REF!</f>
        <v>#REF!</v>
      </c>
      <c r="H133" s="161" t="e">
        <f>#REF!</f>
        <v>#REF!</v>
      </c>
    </row>
    <row r="134" spans="1:8" x14ac:dyDescent="0.3">
      <c r="A134" s="161" t="e">
        <f>#REF!</f>
        <v>#REF!</v>
      </c>
      <c r="B134" s="161" t="e">
        <f>#REF!</f>
        <v>#REF!</v>
      </c>
      <c r="C134" s="161" t="e">
        <f>#REF!</f>
        <v>#REF!</v>
      </c>
      <c r="D134" s="161" t="e">
        <f>#REF!</f>
        <v>#REF!</v>
      </c>
      <c r="E134" s="161" t="e">
        <f>#REF!</f>
        <v>#REF!</v>
      </c>
      <c r="F134" s="161" t="e">
        <f>#REF!</f>
        <v>#REF!</v>
      </c>
      <c r="G134" s="161" t="e">
        <f>#REF!</f>
        <v>#REF!</v>
      </c>
      <c r="H134" s="161" t="e">
        <f>#REF!</f>
        <v>#REF!</v>
      </c>
    </row>
    <row r="135" spans="1:8" x14ac:dyDescent="0.3">
      <c r="A135" s="161" t="e">
        <f>#REF!</f>
        <v>#REF!</v>
      </c>
      <c r="B135" s="161" t="e">
        <f>#REF!</f>
        <v>#REF!</v>
      </c>
      <c r="C135" s="161" t="e">
        <f>#REF!</f>
        <v>#REF!</v>
      </c>
      <c r="D135" s="161" t="e">
        <f>#REF!</f>
        <v>#REF!</v>
      </c>
      <c r="E135" s="161" t="e">
        <f>#REF!</f>
        <v>#REF!</v>
      </c>
      <c r="F135" s="161" t="e">
        <f>#REF!</f>
        <v>#REF!</v>
      </c>
      <c r="G135" s="161" t="e">
        <f>#REF!</f>
        <v>#REF!</v>
      </c>
      <c r="H135" s="161" t="e">
        <f>#REF!</f>
        <v>#REF!</v>
      </c>
    </row>
    <row r="136" spans="1:8" x14ac:dyDescent="0.3">
      <c r="A136" s="161" t="e">
        <f>#REF!</f>
        <v>#REF!</v>
      </c>
      <c r="B136" s="161" t="e">
        <f>#REF!</f>
        <v>#REF!</v>
      </c>
      <c r="C136" s="161" t="e">
        <f>#REF!</f>
        <v>#REF!</v>
      </c>
      <c r="D136" s="161" t="e">
        <f>#REF!</f>
        <v>#REF!</v>
      </c>
      <c r="E136" s="161" t="e">
        <f>#REF!</f>
        <v>#REF!</v>
      </c>
      <c r="F136" s="161" t="e">
        <f>#REF!</f>
        <v>#REF!</v>
      </c>
      <c r="G136" s="161" t="e">
        <f>#REF!</f>
        <v>#REF!</v>
      </c>
      <c r="H136" s="161" t="e">
        <f>#REF!</f>
        <v>#REF!</v>
      </c>
    </row>
    <row r="137" spans="1:8" x14ac:dyDescent="0.3">
      <c r="A137" s="161" t="e">
        <f>#REF!</f>
        <v>#REF!</v>
      </c>
      <c r="B137" s="161" t="e">
        <f>#REF!</f>
        <v>#REF!</v>
      </c>
      <c r="C137" s="161" t="e">
        <f>#REF!</f>
        <v>#REF!</v>
      </c>
      <c r="D137" s="161" t="e">
        <f>#REF!</f>
        <v>#REF!</v>
      </c>
      <c r="E137" s="161" t="e">
        <f>#REF!</f>
        <v>#REF!</v>
      </c>
      <c r="F137" s="161" t="e">
        <f>#REF!</f>
        <v>#REF!</v>
      </c>
      <c r="G137" s="161" t="e">
        <f>#REF!</f>
        <v>#REF!</v>
      </c>
      <c r="H137" s="161" t="e">
        <f>#REF!</f>
        <v>#REF!</v>
      </c>
    </row>
    <row r="138" spans="1:8" x14ac:dyDescent="0.3">
      <c r="A138" s="161" t="e">
        <f>#REF!</f>
        <v>#REF!</v>
      </c>
      <c r="B138" s="161" t="e">
        <f>#REF!</f>
        <v>#REF!</v>
      </c>
      <c r="C138" s="161" t="e">
        <f>#REF!</f>
        <v>#REF!</v>
      </c>
      <c r="D138" s="161" t="e">
        <f>#REF!</f>
        <v>#REF!</v>
      </c>
      <c r="E138" s="161" t="e">
        <f>#REF!</f>
        <v>#REF!</v>
      </c>
      <c r="F138" s="161" t="e">
        <f>#REF!</f>
        <v>#REF!</v>
      </c>
      <c r="G138" s="161" t="e">
        <f>#REF!</f>
        <v>#REF!</v>
      </c>
      <c r="H138" s="161" t="e">
        <f>#REF!</f>
        <v>#REF!</v>
      </c>
    </row>
    <row r="139" spans="1:8" x14ac:dyDescent="0.3">
      <c r="A139" s="161" t="e">
        <f>#REF!</f>
        <v>#REF!</v>
      </c>
      <c r="B139" s="161" t="e">
        <f>#REF!</f>
        <v>#REF!</v>
      </c>
      <c r="C139" s="161" t="e">
        <f>#REF!</f>
        <v>#REF!</v>
      </c>
      <c r="D139" s="161" t="e">
        <f>#REF!</f>
        <v>#REF!</v>
      </c>
      <c r="E139" s="161" t="e">
        <f>#REF!</f>
        <v>#REF!</v>
      </c>
      <c r="F139" s="161" t="e">
        <f>#REF!</f>
        <v>#REF!</v>
      </c>
      <c r="G139" s="161" t="e">
        <f>#REF!</f>
        <v>#REF!</v>
      </c>
      <c r="H139" s="161" t="e">
        <f>#REF!</f>
        <v>#REF!</v>
      </c>
    </row>
    <row r="140" spans="1:8" x14ac:dyDescent="0.3">
      <c r="A140" s="161" t="e">
        <f>#REF!</f>
        <v>#REF!</v>
      </c>
      <c r="B140" s="161" t="e">
        <f>#REF!</f>
        <v>#REF!</v>
      </c>
      <c r="C140" s="161" t="e">
        <f>#REF!</f>
        <v>#REF!</v>
      </c>
      <c r="D140" s="161" t="e">
        <f>#REF!</f>
        <v>#REF!</v>
      </c>
      <c r="E140" s="161" t="e">
        <f>#REF!</f>
        <v>#REF!</v>
      </c>
      <c r="F140" s="161" t="e">
        <f>#REF!</f>
        <v>#REF!</v>
      </c>
      <c r="G140" s="161" t="e">
        <f>#REF!</f>
        <v>#REF!</v>
      </c>
      <c r="H140" s="161" t="e">
        <f>#REF!</f>
        <v>#REF!</v>
      </c>
    </row>
    <row r="141" spans="1:8" x14ac:dyDescent="0.3">
      <c r="A141" s="161" t="e">
        <f>#REF!</f>
        <v>#REF!</v>
      </c>
      <c r="B141" s="161" t="e">
        <f>#REF!</f>
        <v>#REF!</v>
      </c>
      <c r="C141" s="161" t="e">
        <f>#REF!</f>
        <v>#REF!</v>
      </c>
      <c r="D141" s="161" t="e">
        <f>#REF!</f>
        <v>#REF!</v>
      </c>
      <c r="E141" s="161" t="e">
        <f>#REF!</f>
        <v>#REF!</v>
      </c>
      <c r="F141" s="161" t="e">
        <f>#REF!</f>
        <v>#REF!</v>
      </c>
      <c r="G141" s="161" t="e">
        <f>#REF!</f>
        <v>#REF!</v>
      </c>
      <c r="H141" s="161" t="e">
        <f>#REF!</f>
        <v>#REF!</v>
      </c>
    </row>
    <row r="142" spans="1:8" x14ac:dyDescent="0.3">
      <c r="A142" s="161" t="e">
        <f>#REF!</f>
        <v>#REF!</v>
      </c>
      <c r="B142" s="161" t="e">
        <f>#REF!</f>
        <v>#REF!</v>
      </c>
      <c r="C142" s="161" t="e">
        <f>#REF!</f>
        <v>#REF!</v>
      </c>
      <c r="D142" s="161" t="e">
        <f>#REF!</f>
        <v>#REF!</v>
      </c>
      <c r="E142" s="161" t="e">
        <f>#REF!</f>
        <v>#REF!</v>
      </c>
      <c r="F142" s="161" t="e">
        <f>#REF!</f>
        <v>#REF!</v>
      </c>
      <c r="G142" s="161" t="e">
        <f>#REF!</f>
        <v>#REF!</v>
      </c>
      <c r="H142" s="161" t="e">
        <f>#REF!</f>
        <v>#REF!</v>
      </c>
    </row>
    <row r="143" spans="1:8" x14ac:dyDescent="0.3">
      <c r="A143" s="161" t="e">
        <f>#REF!</f>
        <v>#REF!</v>
      </c>
      <c r="B143" s="161" t="e">
        <f>#REF!</f>
        <v>#REF!</v>
      </c>
      <c r="C143" s="161" t="e">
        <f>#REF!</f>
        <v>#REF!</v>
      </c>
      <c r="D143" s="161" t="e">
        <f>#REF!</f>
        <v>#REF!</v>
      </c>
      <c r="E143" s="161" t="e">
        <f>#REF!</f>
        <v>#REF!</v>
      </c>
      <c r="F143" s="161" t="e">
        <f>#REF!</f>
        <v>#REF!</v>
      </c>
      <c r="G143" s="161" t="e">
        <f>#REF!</f>
        <v>#REF!</v>
      </c>
      <c r="H143" s="161" t="e">
        <f>#REF!</f>
        <v>#REF!</v>
      </c>
    </row>
    <row r="144" spans="1:8" x14ac:dyDescent="0.3">
      <c r="A144" s="161" t="e">
        <f>#REF!</f>
        <v>#REF!</v>
      </c>
      <c r="B144" s="161" t="e">
        <f>#REF!</f>
        <v>#REF!</v>
      </c>
      <c r="C144" s="161" t="e">
        <f>#REF!</f>
        <v>#REF!</v>
      </c>
      <c r="D144" s="161" t="e">
        <f>#REF!</f>
        <v>#REF!</v>
      </c>
      <c r="E144" s="161" t="e">
        <f>#REF!</f>
        <v>#REF!</v>
      </c>
      <c r="F144" s="161" t="e">
        <f>#REF!</f>
        <v>#REF!</v>
      </c>
      <c r="G144" s="161" t="e">
        <f>#REF!</f>
        <v>#REF!</v>
      </c>
      <c r="H144" s="161" t="e">
        <f>#REF!</f>
        <v>#REF!</v>
      </c>
    </row>
    <row r="145" spans="1:8" x14ac:dyDescent="0.3">
      <c r="A145" s="161" t="e">
        <f>#REF!</f>
        <v>#REF!</v>
      </c>
      <c r="B145" s="161" t="e">
        <f>#REF!</f>
        <v>#REF!</v>
      </c>
      <c r="C145" s="161" t="e">
        <f>#REF!</f>
        <v>#REF!</v>
      </c>
      <c r="D145" s="161" t="e">
        <f>#REF!</f>
        <v>#REF!</v>
      </c>
      <c r="E145" s="161" t="e">
        <f>#REF!</f>
        <v>#REF!</v>
      </c>
      <c r="F145" s="161" t="e">
        <f>#REF!</f>
        <v>#REF!</v>
      </c>
      <c r="G145" s="161" t="e">
        <f>#REF!</f>
        <v>#REF!</v>
      </c>
      <c r="H145" s="161" t="e">
        <f>#REF!</f>
        <v>#REF!</v>
      </c>
    </row>
    <row r="146" spans="1:8" x14ac:dyDescent="0.3">
      <c r="A146" s="161" t="e">
        <f>#REF!</f>
        <v>#REF!</v>
      </c>
      <c r="B146" s="161" t="e">
        <f>#REF!</f>
        <v>#REF!</v>
      </c>
      <c r="C146" s="161" t="e">
        <f>#REF!</f>
        <v>#REF!</v>
      </c>
      <c r="D146" s="161" t="e">
        <f>#REF!</f>
        <v>#REF!</v>
      </c>
      <c r="E146" s="161" t="e">
        <f>#REF!</f>
        <v>#REF!</v>
      </c>
      <c r="F146" s="161" t="e">
        <f>#REF!</f>
        <v>#REF!</v>
      </c>
      <c r="G146" s="161" t="e">
        <f>#REF!</f>
        <v>#REF!</v>
      </c>
      <c r="H146" s="161" t="e">
        <f>#REF!</f>
        <v>#REF!</v>
      </c>
    </row>
    <row r="147" spans="1:8" x14ac:dyDescent="0.3">
      <c r="A147" s="161" t="e">
        <f>#REF!</f>
        <v>#REF!</v>
      </c>
      <c r="B147" s="161" t="e">
        <f>#REF!</f>
        <v>#REF!</v>
      </c>
      <c r="C147" s="161" t="e">
        <f>#REF!</f>
        <v>#REF!</v>
      </c>
      <c r="D147" s="161" t="e">
        <f>#REF!</f>
        <v>#REF!</v>
      </c>
      <c r="E147" s="161" t="e">
        <f>#REF!</f>
        <v>#REF!</v>
      </c>
      <c r="F147" s="161" t="e">
        <f>#REF!</f>
        <v>#REF!</v>
      </c>
      <c r="G147" s="161" t="e">
        <f>#REF!</f>
        <v>#REF!</v>
      </c>
      <c r="H147" s="161" t="e">
        <f>#REF!</f>
        <v>#REF!</v>
      </c>
    </row>
    <row r="148" spans="1:8" x14ac:dyDescent="0.3">
      <c r="A148" s="161" t="e">
        <f>#REF!</f>
        <v>#REF!</v>
      </c>
      <c r="B148" s="161" t="e">
        <f>#REF!</f>
        <v>#REF!</v>
      </c>
      <c r="C148" s="161" t="e">
        <f>#REF!</f>
        <v>#REF!</v>
      </c>
      <c r="D148" s="161" t="e">
        <f>#REF!</f>
        <v>#REF!</v>
      </c>
      <c r="E148" s="161" t="e">
        <f>#REF!</f>
        <v>#REF!</v>
      </c>
      <c r="F148" s="161" t="e">
        <f>#REF!</f>
        <v>#REF!</v>
      </c>
      <c r="G148" s="161" t="e">
        <f>#REF!</f>
        <v>#REF!</v>
      </c>
      <c r="H148" s="161" t="e">
        <f>#REF!</f>
        <v>#REF!</v>
      </c>
    </row>
    <row r="149" spans="1:8" x14ac:dyDescent="0.3">
      <c r="A149" s="161" t="e">
        <f>#REF!</f>
        <v>#REF!</v>
      </c>
      <c r="B149" s="161" t="e">
        <f>#REF!</f>
        <v>#REF!</v>
      </c>
      <c r="C149" s="161" t="e">
        <f>#REF!</f>
        <v>#REF!</v>
      </c>
      <c r="D149" s="161" t="e">
        <f>#REF!</f>
        <v>#REF!</v>
      </c>
      <c r="E149" s="161" t="e">
        <f>#REF!</f>
        <v>#REF!</v>
      </c>
      <c r="F149" s="161" t="e">
        <f>#REF!</f>
        <v>#REF!</v>
      </c>
      <c r="G149" s="161" t="e">
        <f>#REF!</f>
        <v>#REF!</v>
      </c>
      <c r="H149" s="161" t="e">
        <f>#REF!</f>
        <v>#REF!</v>
      </c>
    </row>
    <row r="150" spans="1:8" x14ac:dyDescent="0.3">
      <c r="A150" s="161" t="e">
        <f>#REF!</f>
        <v>#REF!</v>
      </c>
      <c r="B150" s="161" t="e">
        <f>#REF!</f>
        <v>#REF!</v>
      </c>
      <c r="C150" s="161" t="e">
        <f>#REF!</f>
        <v>#REF!</v>
      </c>
      <c r="D150" s="161" t="e">
        <f>#REF!</f>
        <v>#REF!</v>
      </c>
      <c r="E150" s="161" t="e">
        <f>#REF!</f>
        <v>#REF!</v>
      </c>
      <c r="F150" s="161" t="e">
        <f>#REF!</f>
        <v>#REF!</v>
      </c>
      <c r="G150" s="161" t="e">
        <f>#REF!</f>
        <v>#REF!</v>
      </c>
      <c r="H150" s="161" t="e">
        <f>#REF!</f>
        <v>#REF!</v>
      </c>
    </row>
    <row r="151" spans="1:8" x14ac:dyDescent="0.3">
      <c r="A151" s="161" t="e">
        <f>#REF!</f>
        <v>#REF!</v>
      </c>
      <c r="B151" s="161" t="e">
        <f>#REF!</f>
        <v>#REF!</v>
      </c>
      <c r="C151" s="161" t="e">
        <f>#REF!</f>
        <v>#REF!</v>
      </c>
      <c r="D151" s="161" t="e">
        <f>#REF!</f>
        <v>#REF!</v>
      </c>
      <c r="E151" s="161" t="e">
        <f>#REF!</f>
        <v>#REF!</v>
      </c>
      <c r="F151" s="161" t="e">
        <f>#REF!</f>
        <v>#REF!</v>
      </c>
      <c r="G151" s="161" t="e">
        <f>#REF!</f>
        <v>#REF!</v>
      </c>
      <c r="H151" s="161" t="e">
        <f>#REF!</f>
        <v>#REF!</v>
      </c>
    </row>
    <row r="152" spans="1:8" x14ac:dyDescent="0.3">
      <c r="A152" s="161" t="e">
        <f>#REF!</f>
        <v>#REF!</v>
      </c>
      <c r="B152" s="161" t="e">
        <f>#REF!</f>
        <v>#REF!</v>
      </c>
      <c r="C152" s="161" t="e">
        <f>#REF!</f>
        <v>#REF!</v>
      </c>
      <c r="D152" s="161" t="e">
        <f>#REF!</f>
        <v>#REF!</v>
      </c>
      <c r="E152" s="161" t="e">
        <f>#REF!</f>
        <v>#REF!</v>
      </c>
      <c r="F152" s="161" t="e">
        <f>#REF!</f>
        <v>#REF!</v>
      </c>
      <c r="G152" s="161" t="e">
        <f>#REF!</f>
        <v>#REF!</v>
      </c>
      <c r="H152" s="161" t="e">
        <f>#REF!</f>
        <v>#REF!</v>
      </c>
    </row>
    <row r="153" spans="1:8" x14ac:dyDescent="0.3">
      <c r="A153" s="161" t="e">
        <f>#REF!</f>
        <v>#REF!</v>
      </c>
      <c r="B153" s="161" t="e">
        <f>#REF!</f>
        <v>#REF!</v>
      </c>
      <c r="C153" s="161" t="e">
        <f>#REF!</f>
        <v>#REF!</v>
      </c>
      <c r="D153" s="161" t="e">
        <f>#REF!</f>
        <v>#REF!</v>
      </c>
      <c r="E153" s="161" t="e">
        <f>#REF!</f>
        <v>#REF!</v>
      </c>
      <c r="F153" s="161" t="e">
        <f>#REF!</f>
        <v>#REF!</v>
      </c>
      <c r="G153" s="161" t="e">
        <f>#REF!</f>
        <v>#REF!</v>
      </c>
      <c r="H153" s="161" t="e">
        <f>#REF!</f>
        <v>#REF!</v>
      </c>
    </row>
    <row r="154" spans="1:8" x14ac:dyDescent="0.3">
      <c r="A154" s="161" t="e">
        <f>#REF!</f>
        <v>#REF!</v>
      </c>
      <c r="B154" s="161" t="e">
        <f>#REF!</f>
        <v>#REF!</v>
      </c>
      <c r="C154" s="161" t="e">
        <f>#REF!</f>
        <v>#REF!</v>
      </c>
      <c r="D154" s="161" t="e">
        <f>#REF!</f>
        <v>#REF!</v>
      </c>
      <c r="E154" s="161" t="e">
        <f>#REF!</f>
        <v>#REF!</v>
      </c>
      <c r="F154" s="161" t="e">
        <f>#REF!</f>
        <v>#REF!</v>
      </c>
      <c r="G154" s="161" t="e">
        <f>#REF!</f>
        <v>#REF!</v>
      </c>
      <c r="H154" s="161" t="e">
        <f>#REF!</f>
        <v>#REF!</v>
      </c>
    </row>
    <row r="155" spans="1:8" x14ac:dyDescent="0.3">
      <c r="A155" s="161" t="e">
        <f>#REF!</f>
        <v>#REF!</v>
      </c>
      <c r="B155" s="161" t="e">
        <f>#REF!</f>
        <v>#REF!</v>
      </c>
      <c r="C155" s="161" t="e">
        <f>#REF!</f>
        <v>#REF!</v>
      </c>
      <c r="D155" s="161" t="e">
        <f>#REF!</f>
        <v>#REF!</v>
      </c>
      <c r="E155" s="161" t="e">
        <f>#REF!</f>
        <v>#REF!</v>
      </c>
      <c r="F155" s="161" t="e">
        <f>#REF!</f>
        <v>#REF!</v>
      </c>
      <c r="G155" s="161" t="e">
        <f>#REF!</f>
        <v>#REF!</v>
      </c>
      <c r="H155" s="161" t="e">
        <f>#REF!</f>
        <v>#REF!</v>
      </c>
    </row>
    <row r="156" spans="1:8" x14ac:dyDescent="0.3">
      <c r="A156" s="161" t="e">
        <f>#REF!</f>
        <v>#REF!</v>
      </c>
      <c r="B156" s="161" t="e">
        <f>#REF!</f>
        <v>#REF!</v>
      </c>
      <c r="C156" s="161" t="e">
        <f>#REF!</f>
        <v>#REF!</v>
      </c>
      <c r="D156" s="161" t="e">
        <f>#REF!</f>
        <v>#REF!</v>
      </c>
      <c r="E156" s="161" t="e">
        <f>#REF!</f>
        <v>#REF!</v>
      </c>
      <c r="F156" s="161" t="e">
        <f>#REF!</f>
        <v>#REF!</v>
      </c>
      <c r="G156" s="161" t="e">
        <f>#REF!</f>
        <v>#REF!</v>
      </c>
      <c r="H156" s="161" t="e">
        <f>#REF!</f>
        <v>#REF!</v>
      </c>
    </row>
    <row r="157" spans="1:8" x14ac:dyDescent="0.3">
      <c r="A157" s="161" t="e">
        <f>#REF!</f>
        <v>#REF!</v>
      </c>
      <c r="B157" s="161" t="e">
        <f>#REF!</f>
        <v>#REF!</v>
      </c>
      <c r="C157" s="161" t="e">
        <f>#REF!</f>
        <v>#REF!</v>
      </c>
      <c r="D157" s="161" t="e">
        <f>#REF!</f>
        <v>#REF!</v>
      </c>
      <c r="E157" s="161" t="e">
        <f>#REF!</f>
        <v>#REF!</v>
      </c>
      <c r="F157" s="161" t="e">
        <f>#REF!</f>
        <v>#REF!</v>
      </c>
      <c r="G157" s="161" t="e">
        <f>#REF!</f>
        <v>#REF!</v>
      </c>
      <c r="H157" s="161" t="e">
        <f>#REF!</f>
        <v>#REF!</v>
      </c>
    </row>
    <row r="158" spans="1:8" x14ac:dyDescent="0.3">
      <c r="A158" s="161" t="e">
        <f>#REF!</f>
        <v>#REF!</v>
      </c>
      <c r="B158" s="161" t="e">
        <f>#REF!</f>
        <v>#REF!</v>
      </c>
      <c r="C158" s="161" t="e">
        <f>#REF!</f>
        <v>#REF!</v>
      </c>
      <c r="D158" s="161" t="e">
        <f>#REF!</f>
        <v>#REF!</v>
      </c>
      <c r="E158" s="161" t="e">
        <f>#REF!</f>
        <v>#REF!</v>
      </c>
      <c r="F158" s="161" t="e">
        <f>#REF!</f>
        <v>#REF!</v>
      </c>
      <c r="G158" s="161" t="e">
        <f>#REF!</f>
        <v>#REF!</v>
      </c>
      <c r="H158" s="161" t="e">
        <f>#REF!</f>
        <v>#REF!</v>
      </c>
    </row>
    <row r="159" spans="1:8" x14ac:dyDescent="0.3">
      <c r="A159" s="161" t="e">
        <f>#REF!</f>
        <v>#REF!</v>
      </c>
      <c r="B159" s="161" t="e">
        <f>#REF!</f>
        <v>#REF!</v>
      </c>
      <c r="C159" s="161" t="e">
        <f>#REF!</f>
        <v>#REF!</v>
      </c>
      <c r="D159" s="161" t="e">
        <f>#REF!</f>
        <v>#REF!</v>
      </c>
      <c r="E159" s="161" t="e">
        <f>#REF!</f>
        <v>#REF!</v>
      </c>
      <c r="F159" s="161" t="e">
        <f>#REF!</f>
        <v>#REF!</v>
      </c>
      <c r="G159" s="161" t="e">
        <f>#REF!</f>
        <v>#REF!</v>
      </c>
      <c r="H159" s="161" t="e">
        <f>#REF!</f>
        <v>#REF!</v>
      </c>
    </row>
    <row r="160" spans="1:8" x14ac:dyDescent="0.3">
      <c r="A160" s="161" t="e">
        <f>#REF!</f>
        <v>#REF!</v>
      </c>
      <c r="B160" s="161" t="e">
        <f>#REF!</f>
        <v>#REF!</v>
      </c>
      <c r="C160" s="161" t="e">
        <f>#REF!</f>
        <v>#REF!</v>
      </c>
      <c r="D160" s="161" t="e">
        <f>#REF!</f>
        <v>#REF!</v>
      </c>
      <c r="E160" s="161" t="e">
        <f>#REF!</f>
        <v>#REF!</v>
      </c>
      <c r="F160" s="161" t="e">
        <f>#REF!</f>
        <v>#REF!</v>
      </c>
      <c r="G160" s="161" t="e">
        <f>#REF!</f>
        <v>#REF!</v>
      </c>
      <c r="H160" s="161" t="e">
        <f>#REF!</f>
        <v>#REF!</v>
      </c>
    </row>
    <row r="161" spans="1:8" x14ac:dyDescent="0.3">
      <c r="A161" s="161" t="e">
        <f>#REF!</f>
        <v>#REF!</v>
      </c>
      <c r="B161" s="161" t="e">
        <f>#REF!</f>
        <v>#REF!</v>
      </c>
      <c r="C161" s="161" t="e">
        <f>#REF!</f>
        <v>#REF!</v>
      </c>
      <c r="D161" s="161" t="e">
        <f>#REF!</f>
        <v>#REF!</v>
      </c>
      <c r="E161" s="161" t="e">
        <f>#REF!</f>
        <v>#REF!</v>
      </c>
      <c r="F161" s="161" t="e">
        <f>#REF!</f>
        <v>#REF!</v>
      </c>
      <c r="G161" s="161" t="e">
        <f>#REF!</f>
        <v>#REF!</v>
      </c>
      <c r="H161" s="161" t="e">
        <f>#REF!</f>
        <v>#REF!</v>
      </c>
    </row>
    <row r="162" spans="1:8" x14ac:dyDescent="0.3">
      <c r="A162" s="161" t="e">
        <f>#REF!</f>
        <v>#REF!</v>
      </c>
      <c r="B162" s="161" t="e">
        <f>#REF!</f>
        <v>#REF!</v>
      </c>
      <c r="C162" s="161" t="e">
        <f>#REF!</f>
        <v>#REF!</v>
      </c>
      <c r="D162" s="161" t="e">
        <f>#REF!</f>
        <v>#REF!</v>
      </c>
      <c r="E162" s="161" t="e">
        <f>#REF!</f>
        <v>#REF!</v>
      </c>
      <c r="F162" s="161" t="e">
        <f>#REF!</f>
        <v>#REF!</v>
      </c>
      <c r="G162" s="161" t="e">
        <f>#REF!</f>
        <v>#REF!</v>
      </c>
      <c r="H162" s="161" t="e">
        <f>#REF!</f>
        <v>#REF!</v>
      </c>
    </row>
    <row r="163" spans="1:8" x14ac:dyDescent="0.3">
      <c r="A163" s="161" t="e">
        <f>#REF!</f>
        <v>#REF!</v>
      </c>
      <c r="B163" s="161" t="e">
        <f>#REF!</f>
        <v>#REF!</v>
      </c>
      <c r="C163" s="161" t="e">
        <f>#REF!</f>
        <v>#REF!</v>
      </c>
      <c r="D163" s="161" t="e">
        <f>#REF!</f>
        <v>#REF!</v>
      </c>
      <c r="E163" s="161" t="e">
        <f>#REF!</f>
        <v>#REF!</v>
      </c>
      <c r="F163" s="161" t="e">
        <f>#REF!</f>
        <v>#REF!</v>
      </c>
      <c r="G163" s="161" t="e">
        <f>#REF!</f>
        <v>#REF!</v>
      </c>
      <c r="H163" s="161" t="e">
        <f>#REF!</f>
        <v>#REF!</v>
      </c>
    </row>
    <row r="164" spans="1:8" x14ac:dyDescent="0.3">
      <c r="A164" s="161" t="e">
        <f>#REF!</f>
        <v>#REF!</v>
      </c>
      <c r="B164" s="161" t="e">
        <f>#REF!</f>
        <v>#REF!</v>
      </c>
      <c r="C164" s="161" t="e">
        <f>#REF!</f>
        <v>#REF!</v>
      </c>
      <c r="D164" s="161" t="e">
        <f>#REF!</f>
        <v>#REF!</v>
      </c>
      <c r="E164" s="161" t="e">
        <f>#REF!</f>
        <v>#REF!</v>
      </c>
      <c r="F164" s="161" t="e">
        <f>#REF!</f>
        <v>#REF!</v>
      </c>
      <c r="G164" s="161" t="e">
        <f>#REF!</f>
        <v>#REF!</v>
      </c>
      <c r="H164" s="161" t="e">
        <f>#REF!</f>
        <v>#REF!</v>
      </c>
    </row>
    <row r="165" spans="1:8" x14ac:dyDescent="0.3">
      <c r="A165" s="161" t="e">
        <f>#REF!</f>
        <v>#REF!</v>
      </c>
      <c r="B165" s="161" t="e">
        <f>#REF!</f>
        <v>#REF!</v>
      </c>
      <c r="C165" s="161" t="e">
        <f>#REF!</f>
        <v>#REF!</v>
      </c>
      <c r="D165" s="161" t="e">
        <f>#REF!</f>
        <v>#REF!</v>
      </c>
      <c r="E165" s="161" t="e">
        <f>#REF!</f>
        <v>#REF!</v>
      </c>
      <c r="F165" s="161" t="e">
        <f>#REF!</f>
        <v>#REF!</v>
      </c>
      <c r="G165" s="161" t="e">
        <f>#REF!</f>
        <v>#REF!</v>
      </c>
      <c r="H165" s="161" t="e">
        <f>#REF!</f>
        <v>#REF!</v>
      </c>
    </row>
    <row r="166" spans="1:8" x14ac:dyDescent="0.3">
      <c r="A166" s="161" t="e">
        <f>#REF!</f>
        <v>#REF!</v>
      </c>
      <c r="B166" s="161" t="e">
        <f>#REF!</f>
        <v>#REF!</v>
      </c>
      <c r="C166" s="161" t="e">
        <f>#REF!</f>
        <v>#REF!</v>
      </c>
      <c r="D166" s="161" t="e">
        <f>#REF!</f>
        <v>#REF!</v>
      </c>
      <c r="E166" s="161" t="e">
        <f>#REF!</f>
        <v>#REF!</v>
      </c>
      <c r="F166" s="161" t="e">
        <f>#REF!</f>
        <v>#REF!</v>
      </c>
      <c r="G166" s="161" t="e">
        <f>#REF!</f>
        <v>#REF!</v>
      </c>
      <c r="H166" s="161" t="e">
        <f>#REF!</f>
        <v>#REF!</v>
      </c>
    </row>
    <row r="167" spans="1:8" x14ac:dyDescent="0.3">
      <c r="A167" s="161" t="e">
        <f>#REF!</f>
        <v>#REF!</v>
      </c>
      <c r="B167" s="161" t="e">
        <f>#REF!</f>
        <v>#REF!</v>
      </c>
      <c r="C167" s="161" t="e">
        <f>#REF!</f>
        <v>#REF!</v>
      </c>
      <c r="D167" s="161" t="e">
        <f>#REF!</f>
        <v>#REF!</v>
      </c>
      <c r="E167" s="161" t="e">
        <f>#REF!</f>
        <v>#REF!</v>
      </c>
      <c r="F167" s="161" t="e">
        <f>#REF!</f>
        <v>#REF!</v>
      </c>
      <c r="G167" s="161" t="e">
        <f>#REF!</f>
        <v>#REF!</v>
      </c>
      <c r="H167" s="161" t="e">
        <f>#REF!</f>
        <v>#REF!</v>
      </c>
    </row>
    <row r="168" spans="1:8" x14ac:dyDescent="0.3">
      <c r="A168" s="161" t="e">
        <f>#REF!</f>
        <v>#REF!</v>
      </c>
      <c r="B168" s="161" t="e">
        <f>#REF!</f>
        <v>#REF!</v>
      </c>
      <c r="C168" s="161" t="e">
        <f>#REF!</f>
        <v>#REF!</v>
      </c>
      <c r="D168" s="161" t="e">
        <f>#REF!</f>
        <v>#REF!</v>
      </c>
      <c r="E168" s="161" t="e">
        <f>#REF!</f>
        <v>#REF!</v>
      </c>
      <c r="F168" s="161" t="e">
        <f>#REF!</f>
        <v>#REF!</v>
      </c>
      <c r="G168" s="161" t="e">
        <f>#REF!</f>
        <v>#REF!</v>
      </c>
      <c r="H168" s="161" t="e">
        <f>#REF!</f>
        <v>#REF!</v>
      </c>
    </row>
    <row r="169" spans="1:8" x14ac:dyDescent="0.3">
      <c r="A169" s="161" t="e">
        <f>#REF!</f>
        <v>#REF!</v>
      </c>
      <c r="B169" s="161" t="e">
        <f>#REF!</f>
        <v>#REF!</v>
      </c>
      <c r="C169" s="161" t="e">
        <f>#REF!</f>
        <v>#REF!</v>
      </c>
      <c r="D169" s="161" t="e">
        <f>#REF!</f>
        <v>#REF!</v>
      </c>
      <c r="E169" s="161" t="e">
        <f>#REF!</f>
        <v>#REF!</v>
      </c>
      <c r="F169" s="161" t="e">
        <f>#REF!</f>
        <v>#REF!</v>
      </c>
      <c r="G169" s="161" t="e">
        <f>#REF!</f>
        <v>#REF!</v>
      </c>
      <c r="H169" s="161" t="e">
        <f>#REF!</f>
        <v>#REF!</v>
      </c>
    </row>
    <row r="170" spans="1:8" x14ac:dyDescent="0.3">
      <c r="A170" s="161" t="e">
        <f>#REF!</f>
        <v>#REF!</v>
      </c>
      <c r="B170" s="161" t="e">
        <f>#REF!</f>
        <v>#REF!</v>
      </c>
      <c r="C170" s="161" t="e">
        <f>#REF!</f>
        <v>#REF!</v>
      </c>
      <c r="D170" s="161" t="e">
        <f>#REF!</f>
        <v>#REF!</v>
      </c>
      <c r="E170" s="161" t="e">
        <f>#REF!</f>
        <v>#REF!</v>
      </c>
      <c r="F170" s="161" t="e">
        <f>#REF!</f>
        <v>#REF!</v>
      </c>
      <c r="G170" s="161" t="e">
        <f>#REF!</f>
        <v>#REF!</v>
      </c>
      <c r="H170" s="161" t="e">
        <f>#REF!</f>
        <v>#REF!</v>
      </c>
    </row>
    <row r="171" spans="1:8" x14ac:dyDescent="0.3">
      <c r="A171" s="161" t="e">
        <f>#REF!</f>
        <v>#REF!</v>
      </c>
      <c r="B171" s="161" t="e">
        <f>#REF!</f>
        <v>#REF!</v>
      </c>
      <c r="C171" s="161" t="e">
        <f>#REF!</f>
        <v>#REF!</v>
      </c>
      <c r="D171" s="161" t="e">
        <f>#REF!</f>
        <v>#REF!</v>
      </c>
      <c r="E171" s="161" t="e">
        <f>#REF!</f>
        <v>#REF!</v>
      </c>
      <c r="F171" s="161" t="e">
        <f>#REF!</f>
        <v>#REF!</v>
      </c>
      <c r="G171" s="161" t="e">
        <f>#REF!</f>
        <v>#REF!</v>
      </c>
      <c r="H171" s="161" t="e">
        <f>#REF!</f>
        <v>#REF!</v>
      </c>
    </row>
    <row r="172" spans="1:8" x14ac:dyDescent="0.3">
      <c r="A172" s="161" t="e">
        <f>#REF!</f>
        <v>#REF!</v>
      </c>
      <c r="B172" s="161" t="e">
        <f>#REF!</f>
        <v>#REF!</v>
      </c>
      <c r="C172" s="161" t="e">
        <f>#REF!</f>
        <v>#REF!</v>
      </c>
      <c r="D172" s="161" t="e">
        <f>#REF!</f>
        <v>#REF!</v>
      </c>
      <c r="E172" s="161" t="e">
        <f>#REF!</f>
        <v>#REF!</v>
      </c>
      <c r="F172" s="161" t="e">
        <f>#REF!</f>
        <v>#REF!</v>
      </c>
      <c r="G172" s="161" t="e">
        <f>#REF!</f>
        <v>#REF!</v>
      </c>
      <c r="H172" s="161" t="e">
        <f>#REF!</f>
        <v>#REF!</v>
      </c>
    </row>
    <row r="173" spans="1:8" x14ac:dyDescent="0.3">
      <c r="A173" s="161" t="e">
        <f>#REF!</f>
        <v>#REF!</v>
      </c>
      <c r="B173" s="161" t="e">
        <f>#REF!</f>
        <v>#REF!</v>
      </c>
      <c r="C173" s="161" t="e">
        <f>#REF!</f>
        <v>#REF!</v>
      </c>
      <c r="D173" s="161" t="e">
        <f>#REF!</f>
        <v>#REF!</v>
      </c>
      <c r="E173" s="161" t="e">
        <f>#REF!</f>
        <v>#REF!</v>
      </c>
      <c r="F173" s="161" t="e">
        <f>#REF!</f>
        <v>#REF!</v>
      </c>
      <c r="G173" s="161" t="e">
        <f>#REF!</f>
        <v>#REF!</v>
      </c>
      <c r="H173" s="161" t="e">
        <f>#REF!</f>
        <v>#REF!</v>
      </c>
    </row>
    <row r="174" spans="1:8" x14ac:dyDescent="0.3">
      <c r="A174" s="161" t="e">
        <f>#REF!</f>
        <v>#REF!</v>
      </c>
      <c r="B174" s="161" t="e">
        <f>#REF!</f>
        <v>#REF!</v>
      </c>
      <c r="C174" s="161" t="e">
        <f>#REF!</f>
        <v>#REF!</v>
      </c>
      <c r="D174" s="161" t="e">
        <f>#REF!</f>
        <v>#REF!</v>
      </c>
      <c r="E174" s="161" t="e">
        <f>#REF!</f>
        <v>#REF!</v>
      </c>
      <c r="F174" s="161" t="e">
        <f>#REF!</f>
        <v>#REF!</v>
      </c>
      <c r="G174" s="161" t="e">
        <f>#REF!</f>
        <v>#REF!</v>
      </c>
      <c r="H174" s="161" t="e">
        <f>#REF!</f>
        <v>#REF!</v>
      </c>
    </row>
    <row r="175" spans="1:8" x14ac:dyDescent="0.3">
      <c r="A175" s="161" t="e">
        <f>#REF!</f>
        <v>#REF!</v>
      </c>
      <c r="B175" s="161" t="e">
        <f>#REF!</f>
        <v>#REF!</v>
      </c>
      <c r="C175" s="161" t="e">
        <f>#REF!</f>
        <v>#REF!</v>
      </c>
      <c r="D175" s="161" t="e">
        <f>#REF!</f>
        <v>#REF!</v>
      </c>
      <c r="E175" s="161" t="e">
        <f>#REF!</f>
        <v>#REF!</v>
      </c>
      <c r="F175" s="161" t="e">
        <f>#REF!</f>
        <v>#REF!</v>
      </c>
      <c r="G175" s="161" t="e">
        <f>#REF!</f>
        <v>#REF!</v>
      </c>
      <c r="H175" s="161" t="e">
        <f>#REF!</f>
        <v>#REF!</v>
      </c>
    </row>
    <row r="176" spans="1:8" x14ac:dyDescent="0.3">
      <c r="A176" s="161" t="e">
        <f>#REF!</f>
        <v>#REF!</v>
      </c>
      <c r="B176" s="161" t="e">
        <f>#REF!</f>
        <v>#REF!</v>
      </c>
      <c r="C176" s="161" t="e">
        <f>#REF!</f>
        <v>#REF!</v>
      </c>
      <c r="D176" s="161" t="e">
        <f>#REF!</f>
        <v>#REF!</v>
      </c>
      <c r="E176" s="161" t="e">
        <f>#REF!</f>
        <v>#REF!</v>
      </c>
      <c r="F176" s="161" t="e">
        <f>#REF!</f>
        <v>#REF!</v>
      </c>
      <c r="G176" s="161" t="e">
        <f>#REF!</f>
        <v>#REF!</v>
      </c>
      <c r="H176" s="161" t="e">
        <f>#REF!</f>
        <v>#REF!</v>
      </c>
    </row>
    <row r="177" spans="1:8" x14ac:dyDescent="0.3">
      <c r="A177" s="161" t="e">
        <f>#REF!</f>
        <v>#REF!</v>
      </c>
      <c r="B177" s="161" t="e">
        <f>#REF!</f>
        <v>#REF!</v>
      </c>
      <c r="C177" s="161" t="e">
        <f>#REF!</f>
        <v>#REF!</v>
      </c>
      <c r="D177" s="161" t="e">
        <f>#REF!</f>
        <v>#REF!</v>
      </c>
      <c r="E177" s="161" t="e">
        <f>#REF!</f>
        <v>#REF!</v>
      </c>
      <c r="F177" s="161" t="e">
        <f>#REF!</f>
        <v>#REF!</v>
      </c>
      <c r="G177" s="161" t="e">
        <f>#REF!</f>
        <v>#REF!</v>
      </c>
      <c r="H177" s="161" t="e">
        <f>#REF!</f>
        <v>#REF!</v>
      </c>
    </row>
    <row r="178" spans="1:8" x14ac:dyDescent="0.3">
      <c r="A178" s="161" t="e">
        <f>#REF!</f>
        <v>#REF!</v>
      </c>
      <c r="B178" s="161" t="e">
        <f>#REF!</f>
        <v>#REF!</v>
      </c>
      <c r="C178" s="161" t="e">
        <f>#REF!</f>
        <v>#REF!</v>
      </c>
      <c r="D178" s="161" t="e">
        <f>#REF!</f>
        <v>#REF!</v>
      </c>
      <c r="E178" s="161" t="e">
        <f>#REF!</f>
        <v>#REF!</v>
      </c>
      <c r="F178" s="161" t="e">
        <f>#REF!</f>
        <v>#REF!</v>
      </c>
      <c r="G178" s="161" t="e">
        <f>#REF!</f>
        <v>#REF!</v>
      </c>
      <c r="H178" s="161" t="e">
        <f>#REF!</f>
        <v>#REF!</v>
      </c>
    </row>
    <row r="179" spans="1:8" x14ac:dyDescent="0.3">
      <c r="A179" s="161" t="e">
        <f>#REF!</f>
        <v>#REF!</v>
      </c>
      <c r="B179" s="161" t="e">
        <f>#REF!</f>
        <v>#REF!</v>
      </c>
      <c r="C179" s="161" t="e">
        <f>#REF!</f>
        <v>#REF!</v>
      </c>
      <c r="D179" s="161" t="e">
        <f>#REF!</f>
        <v>#REF!</v>
      </c>
      <c r="E179" s="161" t="e">
        <f>#REF!</f>
        <v>#REF!</v>
      </c>
      <c r="F179" s="161" t="e">
        <f>#REF!</f>
        <v>#REF!</v>
      </c>
      <c r="G179" s="161" t="e">
        <f>#REF!</f>
        <v>#REF!</v>
      </c>
      <c r="H179" s="161" t="e">
        <f>#REF!</f>
        <v>#REF!</v>
      </c>
    </row>
    <row r="180" spans="1:8" x14ac:dyDescent="0.3">
      <c r="A180" s="161" t="e">
        <f>#REF!</f>
        <v>#REF!</v>
      </c>
      <c r="B180" s="161" t="e">
        <f>#REF!</f>
        <v>#REF!</v>
      </c>
      <c r="C180" s="161" t="e">
        <f>#REF!</f>
        <v>#REF!</v>
      </c>
      <c r="D180" s="161" t="e">
        <f>#REF!</f>
        <v>#REF!</v>
      </c>
      <c r="E180" s="161" t="e">
        <f>#REF!</f>
        <v>#REF!</v>
      </c>
      <c r="F180" s="161" t="e">
        <f>#REF!</f>
        <v>#REF!</v>
      </c>
      <c r="G180" s="161" t="e">
        <f>#REF!</f>
        <v>#REF!</v>
      </c>
      <c r="H180" s="161" t="e">
        <f>#REF!</f>
        <v>#REF!</v>
      </c>
    </row>
    <row r="181" spans="1:8" x14ac:dyDescent="0.3">
      <c r="A181" s="161" t="e">
        <f>#REF!</f>
        <v>#REF!</v>
      </c>
      <c r="B181" s="161" t="e">
        <f>#REF!</f>
        <v>#REF!</v>
      </c>
      <c r="C181" s="161" t="e">
        <f>#REF!</f>
        <v>#REF!</v>
      </c>
      <c r="D181" s="161" t="e">
        <f>#REF!</f>
        <v>#REF!</v>
      </c>
      <c r="E181" s="161" t="e">
        <f>#REF!</f>
        <v>#REF!</v>
      </c>
      <c r="F181" s="161" t="e">
        <f>#REF!</f>
        <v>#REF!</v>
      </c>
      <c r="G181" s="161" t="e">
        <f>#REF!</f>
        <v>#REF!</v>
      </c>
      <c r="H181" s="161" t="e">
        <f>#REF!</f>
        <v>#REF!</v>
      </c>
    </row>
    <row r="182" spans="1:8" x14ac:dyDescent="0.3">
      <c r="A182" s="161" t="e">
        <f>#REF!</f>
        <v>#REF!</v>
      </c>
      <c r="B182" s="161" t="e">
        <f>#REF!</f>
        <v>#REF!</v>
      </c>
      <c r="C182" s="161" t="e">
        <f>#REF!</f>
        <v>#REF!</v>
      </c>
      <c r="D182" s="161" t="e">
        <f>#REF!</f>
        <v>#REF!</v>
      </c>
      <c r="E182" s="161" t="e">
        <f>#REF!</f>
        <v>#REF!</v>
      </c>
      <c r="F182" s="161" t="e">
        <f>#REF!</f>
        <v>#REF!</v>
      </c>
      <c r="G182" s="161" t="e">
        <f>#REF!</f>
        <v>#REF!</v>
      </c>
      <c r="H182" s="161" t="e">
        <f>#REF!</f>
        <v>#REF!</v>
      </c>
    </row>
    <row r="183" spans="1:8" x14ac:dyDescent="0.3">
      <c r="A183" s="161" t="e">
        <f>#REF!</f>
        <v>#REF!</v>
      </c>
      <c r="B183" s="161" t="e">
        <f>#REF!</f>
        <v>#REF!</v>
      </c>
      <c r="C183" s="161" t="e">
        <f>#REF!</f>
        <v>#REF!</v>
      </c>
      <c r="D183" s="161" t="e">
        <f>#REF!</f>
        <v>#REF!</v>
      </c>
      <c r="E183" s="161" t="e">
        <f>#REF!</f>
        <v>#REF!</v>
      </c>
      <c r="F183" s="161" t="e">
        <f>#REF!</f>
        <v>#REF!</v>
      </c>
      <c r="G183" s="161" t="e">
        <f>#REF!</f>
        <v>#REF!</v>
      </c>
      <c r="H183" s="161" t="e">
        <f>#REF!</f>
        <v>#REF!</v>
      </c>
    </row>
    <row r="184" spans="1:8" x14ac:dyDescent="0.3">
      <c r="A184" s="161" t="e">
        <f>#REF!</f>
        <v>#REF!</v>
      </c>
      <c r="B184" s="161" t="e">
        <f>#REF!</f>
        <v>#REF!</v>
      </c>
      <c r="C184" s="161" t="e">
        <f>#REF!</f>
        <v>#REF!</v>
      </c>
      <c r="D184" s="161" t="e">
        <f>#REF!</f>
        <v>#REF!</v>
      </c>
      <c r="E184" s="161" t="e">
        <f>#REF!</f>
        <v>#REF!</v>
      </c>
      <c r="F184" s="161" t="e">
        <f>#REF!</f>
        <v>#REF!</v>
      </c>
      <c r="G184" s="161" t="e">
        <f>#REF!</f>
        <v>#REF!</v>
      </c>
      <c r="H184" s="161" t="e">
        <f>#REF!</f>
        <v>#REF!</v>
      </c>
    </row>
    <row r="185" spans="1:8" x14ac:dyDescent="0.3">
      <c r="A185" s="161" t="e">
        <f>#REF!</f>
        <v>#REF!</v>
      </c>
      <c r="B185" s="161" t="e">
        <f>#REF!</f>
        <v>#REF!</v>
      </c>
      <c r="C185" s="161" t="e">
        <f>#REF!</f>
        <v>#REF!</v>
      </c>
      <c r="D185" s="161" t="e">
        <f>#REF!</f>
        <v>#REF!</v>
      </c>
      <c r="E185" s="161" t="e">
        <f>#REF!</f>
        <v>#REF!</v>
      </c>
      <c r="F185" s="161" t="e">
        <f>#REF!</f>
        <v>#REF!</v>
      </c>
      <c r="G185" s="161" t="e">
        <f>#REF!</f>
        <v>#REF!</v>
      </c>
      <c r="H185" s="161" t="e">
        <f>#REF!</f>
        <v>#REF!</v>
      </c>
    </row>
    <row r="186" spans="1:8" x14ac:dyDescent="0.3">
      <c r="A186" s="161" t="e">
        <f>#REF!</f>
        <v>#REF!</v>
      </c>
      <c r="B186" s="161" t="e">
        <f>#REF!</f>
        <v>#REF!</v>
      </c>
      <c r="C186" s="161" t="e">
        <f>#REF!</f>
        <v>#REF!</v>
      </c>
      <c r="D186" s="161" t="e">
        <f>#REF!</f>
        <v>#REF!</v>
      </c>
      <c r="E186" s="161" t="e">
        <f>#REF!</f>
        <v>#REF!</v>
      </c>
      <c r="F186" s="161" t="e">
        <f>#REF!</f>
        <v>#REF!</v>
      </c>
      <c r="G186" s="161" t="e">
        <f>#REF!</f>
        <v>#REF!</v>
      </c>
      <c r="H186" s="161" t="e">
        <f>#REF!</f>
        <v>#REF!</v>
      </c>
    </row>
    <row r="187" spans="1:8" x14ac:dyDescent="0.3">
      <c r="A187" s="161" t="e">
        <f>#REF!</f>
        <v>#REF!</v>
      </c>
      <c r="B187" s="161" t="e">
        <f>#REF!</f>
        <v>#REF!</v>
      </c>
      <c r="C187" s="161" t="e">
        <f>#REF!</f>
        <v>#REF!</v>
      </c>
      <c r="D187" s="161" t="e">
        <f>#REF!</f>
        <v>#REF!</v>
      </c>
      <c r="E187" s="161" t="e">
        <f>#REF!</f>
        <v>#REF!</v>
      </c>
      <c r="F187" s="161" t="e">
        <f>#REF!</f>
        <v>#REF!</v>
      </c>
      <c r="G187" s="161" t="e">
        <f>#REF!</f>
        <v>#REF!</v>
      </c>
      <c r="H187" s="161" t="e">
        <f>#REF!</f>
        <v>#REF!</v>
      </c>
    </row>
    <row r="188" spans="1:8" x14ac:dyDescent="0.3">
      <c r="A188" s="161" t="e">
        <f>#REF!</f>
        <v>#REF!</v>
      </c>
      <c r="B188" s="161" t="e">
        <f>#REF!</f>
        <v>#REF!</v>
      </c>
      <c r="C188" s="161" t="e">
        <f>#REF!</f>
        <v>#REF!</v>
      </c>
      <c r="D188" s="161" t="e">
        <f>#REF!</f>
        <v>#REF!</v>
      </c>
      <c r="E188" s="161" t="e">
        <f>#REF!</f>
        <v>#REF!</v>
      </c>
      <c r="F188" s="161" t="e">
        <f>#REF!</f>
        <v>#REF!</v>
      </c>
      <c r="G188" s="161" t="e">
        <f>#REF!</f>
        <v>#REF!</v>
      </c>
      <c r="H188" s="161" t="e">
        <f>#REF!</f>
        <v>#REF!</v>
      </c>
    </row>
    <row r="189" spans="1:8" x14ac:dyDescent="0.3">
      <c r="A189" s="161" t="e">
        <f>#REF!</f>
        <v>#REF!</v>
      </c>
      <c r="B189" s="161" t="e">
        <f>#REF!</f>
        <v>#REF!</v>
      </c>
      <c r="C189" s="161" t="e">
        <f>#REF!</f>
        <v>#REF!</v>
      </c>
      <c r="D189" s="161" t="e">
        <f>#REF!</f>
        <v>#REF!</v>
      </c>
      <c r="E189" s="161" t="e">
        <f>#REF!</f>
        <v>#REF!</v>
      </c>
      <c r="F189" s="161" t="e">
        <f>#REF!</f>
        <v>#REF!</v>
      </c>
      <c r="G189" s="161" t="e">
        <f>#REF!</f>
        <v>#REF!</v>
      </c>
      <c r="H189" s="161" t="e">
        <f>#REF!</f>
        <v>#REF!</v>
      </c>
    </row>
    <row r="190" spans="1:8" x14ac:dyDescent="0.3">
      <c r="A190" s="161" t="e">
        <f>#REF!</f>
        <v>#REF!</v>
      </c>
      <c r="B190" s="161" t="e">
        <f>#REF!</f>
        <v>#REF!</v>
      </c>
      <c r="C190" s="161" t="e">
        <f>#REF!</f>
        <v>#REF!</v>
      </c>
      <c r="D190" s="161" t="e">
        <f>#REF!</f>
        <v>#REF!</v>
      </c>
      <c r="E190" s="161" t="e">
        <f>#REF!</f>
        <v>#REF!</v>
      </c>
      <c r="F190" s="161" t="e">
        <f>#REF!</f>
        <v>#REF!</v>
      </c>
      <c r="G190" s="161" t="e">
        <f>#REF!</f>
        <v>#REF!</v>
      </c>
      <c r="H190" s="161" t="e">
        <f>#REF!</f>
        <v>#REF!</v>
      </c>
    </row>
    <row r="191" spans="1:8" x14ac:dyDescent="0.3">
      <c r="A191" s="161" t="e">
        <f>#REF!</f>
        <v>#REF!</v>
      </c>
      <c r="B191" s="161" t="e">
        <f>#REF!</f>
        <v>#REF!</v>
      </c>
      <c r="C191" s="161" t="e">
        <f>#REF!</f>
        <v>#REF!</v>
      </c>
      <c r="D191" s="161" t="e">
        <f>#REF!</f>
        <v>#REF!</v>
      </c>
      <c r="E191" s="161" t="e">
        <f>#REF!</f>
        <v>#REF!</v>
      </c>
      <c r="F191" s="161" t="e">
        <f>#REF!</f>
        <v>#REF!</v>
      </c>
      <c r="G191" s="161" t="e">
        <f>#REF!</f>
        <v>#REF!</v>
      </c>
      <c r="H191" s="161" t="e">
        <f>#REF!</f>
        <v>#REF!</v>
      </c>
    </row>
    <row r="192" spans="1:8" x14ac:dyDescent="0.3">
      <c r="A192" s="161" t="e">
        <f>#REF!</f>
        <v>#REF!</v>
      </c>
      <c r="B192" s="161" t="e">
        <f>#REF!</f>
        <v>#REF!</v>
      </c>
      <c r="C192" s="161" t="e">
        <f>#REF!</f>
        <v>#REF!</v>
      </c>
      <c r="D192" s="161" t="e">
        <f>#REF!</f>
        <v>#REF!</v>
      </c>
      <c r="E192" s="161" t="e">
        <f>#REF!</f>
        <v>#REF!</v>
      </c>
      <c r="F192" s="161" t="e">
        <f>#REF!</f>
        <v>#REF!</v>
      </c>
      <c r="G192" s="161" t="e">
        <f>#REF!</f>
        <v>#REF!</v>
      </c>
      <c r="H192" s="161" t="e">
        <f>#REF!</f>
        <v>#REF!</v>
      </c>
    </row>
    <row r="193" spans="1:8" x14ac:dyDescent="0.3">
      <c r="A193" s="161" t="e">
        <f>#REF!</f>
        <v>#REF!</v>
      </c>
      <c r="B193" s="161" t="e">
        <f>#REF!</f>
        <v>#REF!</v>
      </c>
      <c r="C193" s="161" t="e">
        <f>#REF!</f>
        <v>#REF!</v>
      </c>
      <c r="D193" s="161" t="e">
        <f>#REF!</f>
        <v>#REF!</v>
      </c>
      <c r="E193" s="161" t="e">
        <f>#REF!</f>
        <v>#REF!</v>
      </c>
      <c r="F193" s="161" t="e">
        <f>#REF!</f>
        <v>#REF!</v>
      </c>
      <c r="G193" s="161" t="e">
        <f>#REF!</f>
        <v>#REF!</v>
      </c>
      <c r="H193" s="161" t="e">
        <f>#REF!</f>
        <v>#REF!</v>
      </c>
    </row>
    <row r="194" spans="1:8" x14ac:dyDescent="0.3">
      <c r="A194" s="161" t="e">
        <f>#REF!</f>
        <v>#REF!</v>
      </c>
      <c r="B194" s="161" t="e">
        <f>#REF!</f>
        <v>#REF!</v>
      </c>
      <c r="C194" s="161" t="e">
        <f>#REF!</f>
        <v>#REF!</v>
      </c>
      <c r="D194" s="161" t="e">
        <f>#REF!</f>
        <v>#REF!</v>
      </c>
      <c r="E194" s="161" t="e">
        <f>#REF!</f>
        <v>#REF!</v>
      </c>
      <c r="F194" s="161" t="e">
        <f>#REF!</f>
        <v>#REF!</v>
      </c>
      <c r="G194" s="161" t="e">
        <f>#REF!</f>
        <v>#REF!</v>
      </c>
      <c r="H194" s="161" t="e">
        <f>#REF!</f>
        <v>#REF!</v>
      </c>
    </row>
    <row r="195" spans="1:8" x14ac:dyDescent="0.3">
      <c r="A195" s="161" t="e">
        <f>#REF!</f>
        <v>#REF!</v>
      </c>
      <c r="B195" s="161" t="e">
        <f>#REF!</f>
        <v>#REF!</v>
      </c>
      <c r="C195" s="161" t="e">
        <f>#REF!</f>
        <v>#REF!</v>
      </c>
      <c r="D195" s="161" t="e">
        <f>#REF!</f>
        <v>#REF!</v>
      </c>
      <c r="E195" s="161" t="e">
        <f>#REF!</f>
        <v>#REF!</v>
      </c>
      <c r="F195" s="161" t="e">
        <f>#REF!</f>
        <v>#REF!</v>
      </c>
      <c r="G195" s="161" t="e">
        <f>#REF!</f>
        <v>#REF!</v>
      </c>
      <c r="H195" s="161" t="e">
        <f>#REF!</f>
        <v>#REF!</v>
      </c>
    </row>
    <row r="196" spans="1:8" x14ac:dyDescent="0.3">
      <c r="A196" s="161" t="e">
        <f>#REF!</f>
        <v>#REF!</v>
      </c>
      <c r="B196" s="161" t="e">
        <f>#REF!</f>
        <v>#REF!</v>
      </c>
      <c r="C196" s="161" t="e">
        <f>#REF!</f>
        <v>#REF!</v>
      </c>
      <c r="D196" s="161" t="e">
        <f>#REF!</f>
        <v>#REF!</v>
      </c>
      <c r="E196" s="161" t="e">
        <f>#REF!</f>
        <v>#REF!</v>
      </c>
      <c r="F196" s="161" t="e">
        <f>#REF!</f>
        <v>#REF!</v>
      </c>
      <c r="G196" s="161" t="e">
        <f>#REF!</f>
        <v>#REF!</v>
      </c>
      <c r="H196" s="161" t="e">
        <f>#REF!</f>
        <v>#REF!</v>
      </c>
    </row>
    <row r="197" spans="1:8" x14ac:dyDescent="0.3">
      <c r="A197" s="161" t="e">
        <f>#REF!</f>
        <v>#REF!</v>
      </c>
      <c r="B197" s="161" t="e">
        <f>#REF!</f>
        <v>#REF!</v>
      </c>
      <c r="C197" s="161" t="e">
        <f>#REF!</f>
        <v>#REF!</v>
      </c>
      <c r="D197" s="161" t="e">
        <f>#REF!</f>
        <v>#REF!</v>
      </c>
      <c r="E197" s="161" t="e">
        <f>#REF!</f>
        <v>#REF!</v>
      </c>
      <c r="F197" s="161" t="e">
        <f>#REF!</f>
        <v>#REF!</v>
      </c>
      <c r="G197" s="161" t="e">
        <f>#REF!</f>
        <v>#REF!</v>
      </c>
      <c r="H197" s="161" t="e">
        <f>#REF!</f>
        <v>#REF!</v>
      </c>
    </row>
    <row r="198" spans="1:8" x14ac:dyDescent="0.3">
      <c r="A198" s="161" t="e">
        <f>#REF!</f>
        <v>#REF!</v>
      </c>
      <c r="B198" s="161" t="e">
        <f>#REF!</f>
        <v>#REF!</v>
      </c>
      <c r="C198" s="161" t="e">
        <f>#REF!</f>
        <v>#REF!</v>
      </c>
      <c r="D198" s="161" t="e">
        <f>#REF!</f>
        <v>#REF!</v>
      </c>
      <c r="E198" s="161" t="e">
        <f>#REF!</f>
        <v>#REF!</v>
      </c>
      <c r="F198" s="161" t="e">
        <f>#REF!</f>
        <v>#REF!</v>
      </c>
      <c r="G198" s="161" t="e">
        <f>#REF!</f>
        <v>#REF!</v>
      </c>
      <c r="H198" s="161" t="e">
        <f>#REF!</f>
        <v>#REF!</v>
      </c>
    </row>
    <row r="199" spans="1:8" x14ac:dyDescent="0.3">
      <c r="A199" s="161" t="e">
        <f>#REF!</f>
        <v>#REF!</v>
      </c>
      <c r="B199" s="161" t="e">
        <f>#REF!</f>
        <v>#REF!</v>
      </c>
      <c r="C199" s="161" t="e">
        <f>#REF!</f>
        <v>#REF!</v>
      </c>
      <c r="D199" s="161" t="e">
        <f>#REF!</f>
        <v>#REF!</v>
      </c>
      <c r="E199" s="161" t="e">
        <f>#REF!</f>
        <v>#REF!</v>
      </c>
      <c r="F199" s="161" t="e">
        <f>#REF!</f>
        <v>#REF!</v>
      </c>
      <c r="G199" s="161" t="e">
        <f>#REF!</f>
        <v>#REF!</v>
      </c>
      <c r="H199" s="161" t="e">
        <f>#REF!</f>
        <v>#REF!</v>
      </c>
    </row>
    <row r="200" spans="1:8" x14ac:dyDescent="0.3">
      <c r="A200" s="161" t="e">
        <f>#REF!</f>
        <v>#REF!</v>
      </c>
      <c r="B200" s="161" t="e">
        <f>#REF!</f>
        <v>#REF!</v>
      </c>
      <c r="C200" s="161" t="e">
        <f>#REF!</f>
        <v>#REF!</v>
      </c>
      <c r="D200" s="161" t="e">
        <f>#REF!</f>
        <v>#REF!</v>
      </c>
      <c r="E200" s="161" t="e">
        <f>#REF!</f>
        <v>#REF!</v>
      </c>
      <c r="F200" s="161" t="e">
        <f>#REF!</f>
        <v>#REF!</v>
      </c>
      <c r="G200" s="161" t="e">
        <f>#REF!</f>
        <v>#REF!</v>
      </c>
      <c r="H200" s="161" t="e">
        <f>#REF!</f>
        <v>#REF!</v>
      </c>
    </row>
    <row r="201" spans="1:8" x14ac:dyDescent="0.3">
      <c r="A201" s="161" t="e">
        <f>#REF!</f>
        <v>#REF!</v>
      </c>
      <c r="B201" s="161" t="e">
        <f>#REF!</f>
        <v>#REF!</v>
      </c>
      <c r="C201" s="161" t="e">
        <f>#REF!</f>
        <v>#REF!</v>
      </c>
      <c r="D201" s="161" t="e">
        <f>#REF!</f>
        <v>#REF!</v>
      </c>
      <c r="E201" s="161" t="e">
        <f>#REF!</f>
        <v>#REF!</v>
      </c>
      <c r="F201" s="161" t="e">
        <f>#REF!</f>
        <v>#REF!</v>
      </c>
      <c r="G201" s="161" t="e">
        <f>#REF!</f>
        <v>#REF!</v>
      </c>
      <c r="H201" s="161" t="e">
        <f>#REF!</f>
        <v>#REF!</v>
      </c>
    </row>
    <row r="202" spans="1:8" x14ac:dyDescent="0.3">
      <c r="A202" s="161" t="e">
        <f>#REF!</f>
        <v>#REF!</v>
      </c>
      <c r="B202" s="161" t="e">
        <f>#REF!</f>
        <v>#REF!</v>
      </c>
      <c r="C202" s="161" t="e">
        <f>#REF!</f>
        <v>#REF!</v>
      </c>
      <c r="D202" s="161" t="e">
        <f>#REF!</f>
        <v>#REF!</v>
      </c>
      <c r="E202" s="161" t="e">
        <f>#REF!</f>
        <v>#REF!</v>
      </c>
      <c r="F202" s="161" t="e">
        <f>#REF!</f>
        <v>#REF!</v>
      </c>
      <c r="G202" s="161" t="e">
        <f>#REF!</f>
        <v>#REF!</v>
      </c>
      <c r="H202" s="161" t="e">
        <f>#REF!</f>
        <v>#REF!</v>
      </c>
    </row>
    <row r="203" spans="1:8" x14ac:dyDescent="0.3">
      <c r="A203" s="161" t="e">
        <f>#REF!</f>
        <v>#REF!</v>
      </c>
      <c r="B203" s="161" t="e">
        <f>#REF!</f>
        <v>#REF!</v>
      </c>
      <c r="C203" s="161" t="e">
        <f>#REF!</f>
        <v>#REF!</v>
      </c>
      <c r="D203" s="161" t="e">
        <f>#REF!</f>
        <v>#REF!</v>
      </c>
      <c r="E203" s="161" t="e">
        <f>#REF!</f>
        <v>#REF!</v>
      </c>
      <c r="F203" s="161" t="e">
        <f>#REF!</f>
        <v>#REF!</v>
      </c>
      <c r="G203" s="161" t="e">
        <f>#REF!</f>
        <v>#REF!</v>
      </c>
      <c r="H203" s="161" t="e">
        <f>#REF!</f>
        <v>#REF!</v>
      </c>
    </row>
    <row r="204" spans="1:8" x14ac:dyDescent="0.3">
      <c r="A204" s="161" t="e">
        <f>#REF!</f>
        <v>#REF!</v>
      </c>
      <c r="B204" s="161" t="e">
        <f>#REF!</f>
        <v>#REF!</v>
      </c>
      <c r="C204" s="161" t="e">
        <f>#REF!</f>
        <v>#REF!</v>
      </c>
      <c r="D204" s="161" t="e">
        <f>#REF!</f>
        <v>#REF!</v>
      </c>
      <c r="E204" s="161" t="e">
        <f>#REF!</f>
        <v>#REF!</v>
      </c>
      <c r="F204" s="161" t="e">
        <f>#REF!</f>
        <v>#REF!</v>
      </c>
      <c r="G204" s="161" t="e">
        <f>#REF!</f>
        <v>#REF!</v>
      </c>
      <c r="H204" s="161" t="e">
        <f>#REF!</f>
        <v>#REF!</v>
      </c>
    </row>
    <row r="205" spans="1:8" x14ac:dyDescent="0.3">
      <c r="A205" s="161" t="e">
        <f>#REF!</f>
        <v>#REF!</v>
      </c>
      <c r="B205" s="161" t="e">
        <f>#REF!</f>
        <v>#REF!</v>
      </c>
      <c r="C205" s="161" t="e">
        <f>#REF!</f>
        <v>#REF!</v>
      </c>
      <c r="D205" s="161" t="e">
        <f>#REF!</f>
        <v>#REF!</v>
      </c>
      <c r="E205" s="161" t="e">
        <f>#REF!</f>
        <v>#REF!</v>
      </c>
      <c r="F205" s="161" t="e">
        <f>#REF!</f>
        <v>#REF!</v>
      </c>
      <c r="G205" s="161" t="e">
        <f>#REF!</f>
        <v>#REF!</v>
      </c>
      <c r="H205" s="161" t="e">
        <f>#REF!</f>
        <v>#REF!</v>
      </c>
    </row>
  </sheetData>
  <pageMargins left="0.5" right="0.5" top="0.75" bottom="0.75" header="0.3" footer="0.3"/>
  <pageSetup scale="64" orientation="landscape"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</sheetPr>
  <dimension ref="A1:N16"/>
  <sheetViews>
    <sheetView showGridLines="0" workbookViewId="0"/>
  </sheetViews>
  <sheetFormatPr defaultColWidth="9.109375" defaultRowHeight="14.4" x14ac:dyDescent="0.3"/>
  <cols>
    <col min="1" max="1" width="12.88671875" style="161" customWidth="1"/>
    <col min="2" max="2" width="21.332031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4.6640625" style="161" customWidth="1"/>
    <col min="8" max="8" width="11" style="161" customWidth="1"/>
    <col min="9" max="9" width="16.109375" style="161" customWidth="1"/>
    <col min="10" max="10" width="11" style="161" customWidth="1"/>
    <col min="11" max="11" width="10.44140625" style="161" bestFit="1" customWidth="1"/>
    <col min="12" max="12" width="11.33203125" style="161" bestFit="1" customWidth="1"/>
    <col min="13" max="13" width="16.5546875" style="161" customWidth="1"/>
    <col min="14" max="14" width="13.44140625" style="16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164">
        <f>N11+I16</f>
        <v>2.1347896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928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995</v>
      </c>
      <c r="D4" s="342" t="s">
        <v>541</v>
      </c>
      <c r="J4" s="342" t="s">
        <v>538</v>
      </c>
      <c r="M4" s="342" t="s">
        <v>539</v>
      </c>
      <c r="N4" s="164">
        <f>N1*N2</f>
        <v>2.1347896</v>
      </c>
    </row>
    <row r="5" spans="1:14" x14ac:dyDescent="0.3">
      <c r="A5" s="342" t="s">
        <v>537</v>
      </c>
      <c r="B5" s="161" t="s">
        <v>1048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161" t="s">
        <v>975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s="248" customFormat="1" ht="28.8" x14ac:dyDescent="0.3">
      <c r="A10" s="184">
        <v>10</v>
      </c>
      <c r="B10" s="190" t="s">
        <v>720</v>
      </c>
      <c r="C10" s="168" t="s">
        <v>922</v>
      </c>
      <c r="D10" s="170">
        <v>4.2</v>
      </c>
      <c r="E10" s="184">
        <v>314</v>
      </c>
      <c r="F10" s="184" t="s">
        <v>573</v>
      </c>
      <c r="G10" s="184">
        <v>100</v>
      </c>
      <c r="H10" s="268" t="s">
        <v>573</v>
      </c>
      <c r="I10" s="269" t="s">
        <v>1047</v>
      </c>
      <c r="J10" s="274">
        <f>E10*G10/1000000</f>
        <v>3.1399999999999997E-2</v>
      </c>
      <c r="K10" s="274">
        <v>2E-3</v>
      </c>
      <c r="L10" s="219">
        <v>2710</v>
      </c>
      <c r="M10" s="365">
        <v>1</v>
      </c>
      <c r="N10" s="260">
        <f>IF(J10="",D10*M10,D10*J10*K10*L10*M10)</f>
        <v>0.71478959999999991</v>
      </c>
    </row>
    <row r="11" spans="1:14" s="178" customFormat="1" x14ac:dyDescent="0.3">
      <c r="M11" s="338" t="s">
        <v>547</v>
      </c>
      <c r="N11" s="337">
        <f>SUM(N10:N10)</f>
        <v>0.71478959999999991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s="178" customFormat="1" ht="28.8" x14ac:dyDescent="0.3">
      <c r="A14" s="168">
        <v>10</v>
      </c>
      <c r="B14" s="315" t="s">
        <v>589</v>
      </c>
      <c r="C14" s="168"/>
      <c r="D14" s="170">
        <v>1.3</v>
      </c>
      <c r="E14" s="168" t="s">
        <v>556</v>
      </c>
      <c r="F14" s="168">
        <v>1</v>
      </c>
      <c r="G14" s="168"/>
      <c r="H14" s="168"/>
      <c r="I14" s="170">
        <f>D14</f>
        <v>1.3</v>
      </c>
    </row>
    <row r="15" spans="1:14" ht="16.95" customHeight="1" x14ac:dyDescent="0.3">
      <c r="A15" s="168">
        <v>20</v>
      </c>
      <c r="B15" s="171" t="s">
        <v>700</v>
      </c>
      <c r="C15" s="171"/>
      <c r="D15" s="170">
        <v>0.01</v>
      </c>
      <c r="E15" s="168" t="s">
        <v>593</v>
      </c>
      <c r="F15" s="168">
        <v>12</v>
      </c>
      <c r="G15" s="180" t="s">
        <v>710</v>
      </c>
      <c r="H15" s="179">
        <v>1</v>
      </c>
      <c r="I15" s="170">
        <f>D15*F15</f>
        <v>0.12</v>
      </c>
    </row>
    <row r="16" spans="1:14" s="178" customFormat="1" x14ac:dyDescent="0.3">
      <c r="H16" s="344" t="s">
        <v>547</v>
      </c>
      <c r="I16" s="337">
        <f>SUM(I14:I15)</f>
        <v>1.42</v>
      </c>
    </row>
  </sheetData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N82"/>
  <sheetViews>
    <sheetView showGridLines="0" workbookViewId="0"/>
  </sheetViews>
  <sheetFormatPr defaultColWidth="9.109375" defaultRowHeight="14.4" x14ac:dyDescent="0.3"/>
  <cols>
    <col min="1" max="1" width="13.109375" style="161" customWidth="1"/>
    <col min="2" max="2" width="25.5546875" style="161" customWidth="1"/>
    <col min="3" max="3" width="34.44140625" style="161" bestFit="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3.88671875" style="161" bestFit="1" customWidth="1"/>
    <col min="9" max="9" width="12.109375" style="161" bestFit="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4.6640625" style="161" customWidth="1"/>
    <col min="14" max="14" width="11.6640625" style="161" customWidth="1"/>
    <col min="15" max="16384" width="9.109375" style="161"/>
  </cols>
  <sheetData>
    <row r="1" spans="1:14" x14ac:dyDescent="0.3">
      <c r="A1" s="335" t="s">
        <v>523</v>
      </c>
      <c r="B1" s="161" t="s">
        <v>524</v>
      </c>
      <c r="J1" s="335" t="s">
        <v>528</v>
      </c>
      <c r="K1" s="163">
        <v>81</v>
      </c>
      <c r="M1" s="335" t="s">
        <v>531</v>
      </c>
      <c r="N1" s="336">
        <f>E22+N32+I64+J78+I82</f>
        <v>179.32375403383335</v>
      </c>
    </row>
    <row r="2" spans="1:14" x14ac:dyDescent="0.3">
      <c r="A2" s="335" t="s">
        <v>532</v>
      </c>
      <c r="B2" s="161" t="s">
        <v>780</v>
      </c>
      <c r="M2" s="335" t="s">
        <v>533</v>
      </c>
      <c r="N2" s="165">
        <v>1</v>
      </c>
    </row>
    <row r="3" spans="1:14" x14ac:dyDescent="0.3">
      <c r="A3" s="335" t="s">
        <v>534</v>
      </c>
      <c r="B3" s="161" t="s">
        <v>1049</v>
      </c>
      <c r="J3" s="335" t="s">
        <v>536</v>
      </c>
    </row>
    <row r="4" spans="1:14" x14ac:dyDescent="0.3">
      <c r="A4" s="335" t="s">
        <v>537</v>
      </c>
      <c r="B4" s="166" t="s">
        <v>128</v>
      </c>
      <c r="J4" s="335" t="s">
        <v>538</v>
      </c>
      <c r="M4" s="335" t="s">
        <v>539</v>
      </c>
      <c r="N4" s="336">
        <f>N1*N2</f>
        <v>179.32375403383335</v>
      </c>
    </row>
    <row r="5" spans="1:14" x14ac:dyDescent="0.3">
      <c r="A5" s="335" t="s">
        <v>540</v>
      </c>
      <c r="B5" s="161" t="s">
        <v>36</v>
      </c>
      <c r="J5" s="335" t="s">
        <v>541</v>
      </c>
    </row>
    <row r="6" spans="1:14" x14ac:dyDescent="0.3">
      <c r="A6" s="335" t="s">
        <v>542</v>
      </c>
      <c r="B6" s="334"/>
    </row>
    <row r="8" spans="1:14" x14ac:dyDescent="0.3">
      <c r="A8" s="324" t="s">
        <v>544</v>
      </c>
      <c r="B8" s="324" t="s">
        <v>545</v>
      </c>
      <c r="C8" s="324" t="s">
        <v>546</v>
      </c>
      <c r="D8" s="324" t="s">
        <v>28</v>
      </c>
      <c r="E8" s="324" t="s">
        <v>547</v>
      </c>
    </row>
    <row r="9" spans="1:14" x14ac:dyDescent="0.3">
      <c r="A9" s="168">
        <v>10</v>
      </c>
      <c r="B9" s="168" t="s">
        <v>1050</v>
      </c>
      <c r="C9" s="323">
        <f>'EN 06001'!N1</f>
        <v>5.1784480000000004</v>
      </c>
      <c r="D9" s="410">
        <v>1</v>
      </c>
      <c r="E9" s="322">
        <f t="shared" ref="E9:E21" si="0">C9*D9</f>
        <v>5.1784480000000004</v>
      </c>
    </row>
    <row r="10" spans="1:14" x14ac:dyDescent="0.3">
      <c r="A10" s="168">
        <v>20</v>
      </c>
      <c r="B10" s="168" t="s">
        <v>132</v>
      </c>
      <c r="C10" s="323">
        <f>'EN 06002'!N1</f>
        <v>5.7261110680000007</v>
      </c>
      <c r="D10" s="410">
        <v>1</v>
      </c>
      <c r="E10" s="322">
        <f t="shared" si="0"/>
        <v>5.7261110680000007</v>
      </c>
    </row>
    <row r="11" spans="1:14" x14ac:dyDescent="0.3">
      <c r="A11" s="168">
        <v>30</v>
      </c>
      <c r="B11" s="168" t="s">
        <v>1051</v>
      </c>
      <c r="C11" s="323">
        <f>'EN 06003'!N1</f>
        <v>4.2751134999999998</v>
      </c>
      <c r="D11" s="410">
        <v>1</v>
      </c>
      <c r="E11" s="322">
        <f t="shared" si="0"/>
        <v>4.2751134999999998</v>
      </c>
    </row>
    <row r="12" spans="1:14" x14ac:dyDescent="0.3">
      <c r="A12" s="168">
        <v>40</v>
      </c>
      <c r="B12" s="168" t="s">
        <v>1052</v>
      </c>
      <c r="C12" s="323">
        <f>'EN 06004'!N1</f>
        <v>2.7251069999999999</v>
      </c>
      <c r="D12" s="410">
        <v>1</v>
      </c>
      <c r="E12" s="322">
        <f t="shared" si="0"/>
        <v>2.7251069999999999</v>
      </c>
    </row>
    <row r="13" spans="1:14" x14ac:dyDescent="0.3">
      <c r="A13" s="168">
        <v>50</v>
      </c>
      <c r="B13" s="168" t="s">
        <v>1053</v>
      </c>
      <c r="C13" s="323">
        <f>'EN 06005'!N1</f>
        <v>2.7113302500000001</v>
      </c>
      <c r="D13" s="410">
        <v>1</v>
      </c>
      <c r="E13" s="322">
        <f t="shared" si="0"/>
        <v>2.7113302500000001</v>
      </c>
    </row>
    <row r="14" spans="1:14" x14ac:dyDescent="0.3">
      <c r="A14" s="168">
        <v>60</v>
      </c>
      <c r="B14" s="168" t="s">
        <v>1054</v>
      </c>
      <c r="C14" s="323">
        <f>'EN 06006'!N1</f>
        <v>1.49053696</v>
      </c>
      <c r="D14" s="410">
        <v>1</v>
      </c>
      <c r="E14" s="322">
        <f t="shared" si="0"/>
        <v>1.49053696</v>
      </c>
    </row>
    <row r="15" spans="1:14" x14ac:dyDescent="0.3">
      <c r="A15" s="168">
        <v>70</v>
      </c>
      <c r="B15" s="168" t="s">
        <v>1055</v>
      </c>
      <c r="C15" s="323">
        <f>'EN 06007'!N1</f>
        <v>4.5684800000000001</v>
      </c>
      <c r="D15" s="410">
        <v>1</v>
      </c>
      <c r="E15" s="322">
        <f t="shared" si="0"/>
        <v>4.5684800000000001</v>
      </c>
    </row>
    <row r="16" spans="1:14" x14ac:dyDescent="0.3">
      <c r="A16" s="168">
        <v>80</v>
      </c>
      <c r="B16" s="168" t="s">
        <v>1056</v>
      </c>
      <c r="C16" s="323">
        <f>'EN 06008'!N1</f>
        <v>2.0383140625</v>
      </c>
      <c r="D16" s="410">
        <v>1</v>
      </c>
      <c r="E16" s="322">
        <f t="shared" si="0"/>
        <v>2.0383140625</v>
      </c>
    </row>
    <row r="17" spans="1:14" x14ac:dyDescent="0.3">
      <c r="A17" s="168">
        <v>90</v>
      </c>
      <c r="B17" s="168" t="s">
        <v>1057</v>
      </c>
      <c r="C17" s="323">
        <f>'EN 06009'!N1</f>
        <v>12.50282176</v>
      </c>
      <c r="D17" s="410">
        <v>1</v>
      </c>
      <c r="E17" s="322">
        <f t="shared" si="0"/>
        <v>12.50282176</v>
      </c>
    </row>
    <row r="18" spans="1:14" x14ac:dyDescent="0.3">
      <c r="A18" s="168">
        <v>100</v>
      </c>
      <c r="B18" s="168" t="s">
        <v>141</v>
      </c>
      <c r="C18" s="323">
        <f>'EN 06010'!N1</f>
        <v>1.2881782500000001</v>
      </c>
      <c r="D18" s="410">
        <v>2</v>
      </c>
      <c r="E18" s="322">
        <f t="shared" si="0"/>
        <v>2.5763565000000002</v>
      </c>
    </row>
    <row r="19" spans="1:14" x14ac:dyDescent="0.3">
      <c r="A19" s="168">
        <v>110</v>
      </c>
      <c r="B19" s="168" t="s">
        <v>1058</v>
      </c>
      <c r="C19" s="323">
        <f>'EN 06011'!N1</f>
        <v>2.923168</v>
      </c>
      <c r="D19" s="410">
        <v>1</v>
      </c>
      <c r="E19" s="322">
        <f t="shared" si="0"/>
        <v>2.923168</v>
      </c>
    </row>
    <row r="20" spans="1:14" x14ac:dyDescent="0.3">
      <c r="A20" s="168">
        <v>120</v>
      </c>
      <c r="B20" s="168" t="s">
        <v>1059</v>
      </c>
      <c r="C20" s="323">
        <f>'EN 06012'!N1</f>
        <v>0.50731680000000001</v>
      </c>
      <c r="D20" s="410">
        <v>1</v>
      </c>
      <c r="E20" s="322">
        <f t="shared" si="0"/>
        <v>0.50731680000000001</v>
      </c>
    </row>
    <row r="21" spans="1:14" x14ac:dyDescent="0.3">
      <c r="A21" s="168">
        <v>130</v>
      </c>
      <c r="B21" s="168" t="s">
        <v>1060</v>
      </c>
      <c r="C21" s="323">
        <f>'EN 06013'!N1</f>
        <v>1.9073168</v>
      </c>
      <c r="D21" s="410">
        <v>1</v>
      </c>
      <c r="E21" s="322">
        <f t="shared" si="0"/>
        <v>1.9073168</v>
      </c>
    </row>
    <row r="22" spans="1:14" x14ac:dyDescent="0.3">
      <c r="D22" s="321" t="s">
        <v>547</v>
      </c>
      <c r="E22" s="320">
        <f>SUM(E9:E21)</f>
        <v>49.130420700499997</v>
      </c>
    </row>
    <row r="24" spans="1:14" x14ac:dyDescent="0.3">
      <c r="A24" s="324" t="s">
        <v>544</v>
      </c>
      <c r="B24" s="324" t="s">
        <v>581</v>
      </c>
      <c r="C24" s="324" t="s">
        <v>549</v>
      </c>
      <c r="D24" s="324" t="s">
        <v>550</v>
      </c>
      <c r="E24" s="324" t="s">
        <v>567</v>
      </c>
      <c r="F24" s="324" t="s">
        <v>568</v>
      </c>
      <c r="G24" s="324" t="s">
        <v>569</v>
      </c>
      <c r="H24" s="324" t="s">
        <v>570</v>
      </c>
      <c r="I24" s="324" t="s">
        <v>582</v>
      </c>
      <c r="J24" s="324" t="s">
        <v>583</v>
      </c>
      <c r="K24" s="324" t="s">
        <v>584</v>
      </c>
      <c r="L24" s="324" t="s">
        <v>585</v>
      </c>
      <c r="M24" s="324" t="s">
        <v>28</v>
      </c>
      <c r="N24" s="324" t="s">
        <v>547</v>
      </c>
    </row>
    <row r="25" spans="1:14" x14ac:dyDescent="0.3">
      <c r="A25" s="168">
        <v>10</v>
      </c>
      <c r="B25" s="168" t="s">
        <v>1061</v>
      </c>
      <c r="C25" s="168"/>
      <c r="D25" s="323">
        <v>0.15</v>
      </c>
      <c r="E25" s="168" t="s">
        <v>852</v>
      </c>
      <c r="F25" s="168">
        <v>420</v>
      </c>
      <c r="G25" s="168"/>
      <c r="H25" s="219"/>
      <c r="I25" s="220"/>
      <c r="J25" s="221"/>
      <c r="K25" s="219"/>
      <c r="L25" s="219"/>
      <c r="M25" s="411">
        <v>1</v>
      </c>
      <c r="N25" s="322">
        <f>F25*D25</f>
        <v>63</v>
      </c>
    </row>
    <row r="26" spans="1:14" x14ac:dyDescent="0.3">
      <c r="A26" s="168">
        <v>20</v>
      </c>
      <c r="B26" s="225" t="s">
        <v>809</v>
      </c>
      <c r="C26" s="168"/>
      <c r="D26" s="323">
        <v>1</v>
      </c>
      <c r="E26" s="168"/>
      <c r="F26" s="168"/>
      <c r="G26" s="168"/>
      <c r="H26" s="219"/>
      <c r="I26" s="220"/>
      <c r="J26" s="221"/>
      <c r="K26" s="219"/>
      <c r="L26" s="219"/>
      <c r="M26" s="411">
        <v>1</v>
      </c>
      <c r="N26" s="322">
        <f t="shared" ref="N26:N31" si="1">IF(J26="",D26*M26,D26*J26*K26*L26*M26)</f>
        <v>1</v>
      </c>
    </row>
    <row r="27" spans="1:14" x14ac:dyDescent="0.3">
      <c r="A27" s="168">
        <v>30</v>
      </c>
      <c r="B27" s="225" t="s">
        <v>1062</v>
      </c>
      <c r="C27" s="168"/>
      <c r="D27" s="323">
        <v>1</v>
      </c>
      <c r="E27" s="168"/>
      <c r="F27" s="168"/>
      <c r="G27" s="168"/>
      <c r="H27" s="219"/>
      <c r="I27" s="331"/>
      <c r="J27" s="221"/>
      <c r="K27" s="219"/>
      <c r="L27" s="227"/>
      <c r="M27" s="411">
        <v>1</v>
      </c>
      <c r="N27" s="322">
        <f t="shared" si="1"/>
        <v>1</v>
      </c>
    </row>
    <row r="28" spans="1:14" x14ac:dyDescent="0.3">
      <c r="A28" s="168">
        <v>40</v>
      </c>
      <c r="B28" s="225" t="s">
        <v>945</v>
      </c>
      <c r="C28" s="168" t="s">
        <v>1063</v>
      </c>
      <c r="D28" s="323">
        <v>0.05</v>
      </c>
      <c r="E28" s="168"/>
      <c r="F28" s="168"/>
      <c r="G28" s="168"/>
      <c r="H28" s="219"/>
      <c r="I28" s="331"/>
      <c r="J28" s="221"/>
      <c r="K28" s="219"/>
      <c r="L28" s="219"/>
      <c r="M28" s="411">
        <v>1</v>
      </c>
      <c r="N28" s="322">
        <f t="shared" si="1"/>
        <v>0.05</v>
      </c>
    </row>
    <row r="29" spans="1:14" x14ac:dyDescent="0.3">
      <c r="A29" s="168">
        <v>50</v>
      </c>
      <c r="B29" s="225" t="s">
        <v>945</v>
      </c>
      <c r="C29" s="168" t="s">
        <v>1064</v>
      </c>
      <c r="D29" s="323">
        <v>0.05</v>
      </c>
      <c r="E29" s="168"/>
      <c r="F29" s="168"/>
      <c r="G29" s="168"/>
      <c r="H29" s="219"/>
      <c r="I29" s="331"/>
      <c r="J29" s="221"/>
      <c r="K29" s="219"/>
      <c r="L29" s="219"/>
      <c r="M29" s="411">
        <v>1</v>
      </c>
      <c r="N29" s="322">
        <f t="shared" si="1"/>
        <v>0.05</v>
      </c>
    </row>
    <row r="30" spans="1:14" x14ac:dyDescent="0.3">
      <c r="A30" s="168">
        <v>60</v>
      </c>
      <c r="B30" s="225" t="s">
        <v>1065</v>
      </c>
      <c r="C30" s="168" t="s">
        <v>1066</v>
      </c>
      <c r="D30" s="323">
        <v>15</v>
      </c>
      <c r="E30" s="168">
        <v>3.5</v>
      </c>
      <c r="F30" s="168" t="s">
        <v>644</v>
      </c>
      <c r="G30" s="168"/>
      <c r="H30" s="219"/>
      <c r="I30" s="331"/>
      <c r="J30" s="221"/>
      <c r="K30" s="219"/>
      <c r="L30" s="219"/>
      <c r="M30" s="412">
        <v>3.5</v>
      </c>
      <c r="N30" s="322">
        <f t="shared" si="1"/>
        <v>52.5</v>
      </c>
    </row>
    <row r="31" spans="1:14" x14ac:dyDescent="0.3">
      <c r="A31" s="168">
        <v>70</v>
      </c>
      <c r="B31" s="225" t="s">
        <v>1067</v>
      </c>
      <c r="C31" s="168"/>
      <c r="D31" s="323">
        <v>1</v>
      </c>
      <c r="E31" s="168"/>
      <c r="F31" s="386"/>
      <c r="G31" s="168"/>
      <c r="H31" s="219"/>
      <c r="I31" s="331"/>
      <c r="J31" s="221"/>
      <c r="K31" s="219"/>
      <c r="L31" s="219"/>
      <c r="M31" s="411">
        <v>1</v>
      </c>
      <c r="N31" s="322">
        <f t="shared" si="1"/>
        <v>1</v>
      </c>
    </row>
    <row r="32" spans="1:14" s="178" customFormat="1" x14ac:dyDescent="0.3">
      <c r="M32" s="321" t="s">
        <v>547</v>
      </c>
      <c r="N32" s="320">
        <f>SUM(N25:N31)</f>
        <v>118.6</v>
      </c>
    </row>
    <row r="34" spans="1:9" s="178" customFormat="1" x14ac:dyDescent="0.3">
      <c r="A34" s="324" t="s">
        <v>544</v>
      </c>
      <c r="B34" s="324" t="s">
        <v>548</v>
      </c>
      <c r="C34" s="324" t="s">
        <v>549</v>
      </c>
      <c r="D34" s="324" t="s">
        <v>550</v>
      </c>
      <c r="E34" s="324" t="s">
        <v>551</v>
      </c>
      <c r="F34" s="324" t="s">
        <v>28</v>
      </c>
      <c r="G34" s="324" t="s">
        <v>552</v>
      </c>
      <c r="H34" s="324" t="s">
        <v>553</v>
      </c>
      <c r="I34" s="324" t="s">
        <v>547</v>
      </c>
    </row>
    <row r="35" spans="1:9" x14ac:dyDescent="0.3">
      <c r="A35" s="168">
        <v>10</v>
      </c>
      <c r="B35" s="171" t="s">
        <v>650</v>
      </c>
      <c r="C35" s="171" t="s">
        <v>874</v>
      </c>
      <c r="D35" s="323">
        <v>0.15</v>
      </c>
      <c r="E35" s="168" t="s">
        <v>593</v>
      </c>
      <c r="F35" s="413">
        <v>4</v>
      </c>
      <c r="G35" s="168"/>
      <c r="H35" s="168"/>
      <c r="I35" s="323">
        <f>F35*D35</f>
        <v>0.6</v>
      </c>
    </row>
    <row r="36" spans="1:9" x14ac:dyDescent="0.3">
      <c r="A36" s="168">
        <v>20</v>
      </c>
      <c r="B36" s="285" t="s">
        <v>760</v>
      </c>
      <c r="C36" s="171" t="s">
        <v>1068</v>
      </c>
      <c r="D36" s="323">
        <v>0.19</v>
      </c>
      <c r="E36" s="168" t="s">
        <v>556</v>
      </c>
      <c r="F36" s="413">
        <v>1</v>
      </c>
      <c r="G36" s="168"/>
      <c r="H36" s="168"/>
      <c r="I36" s="323">
        <f t="shared" ref="I36:I63" si="2">F36*D36</f>
        <v>0.19</v>
      </c>
    </row>
    <row r="37" spans="1:9" s="311" customFormat="1" x14ac:dyDescent="0.3">
      <c r="A37" s="183">
        <v>30</v>
      </c>
      <c r="B37" s="285" t="s">
        <v>760</v>
      </c>
      <c r="C37" s="414" t="s">
        <v>1069</v>
      </c>
      <c r="D37" s="241">
        <v>0.19</v>
      </c>
      <c r="E37" s="183" t="s">
        <v>556</v>
      </c>
      <c r="F37" s="413">
        <v>1</v>
      </c>
      <c r="G37" s="183"/>
      <c r="H37" s="183"/>
      <c r="I37" s="241">
        <f t="shared" si="2"/>
        <v>0.19</v>
      </c>
    </row>
    <row r="38" spans="1:9" s="311" customFormat="1" x14ac:dyDescent="0.3">
      <c r="A38" s="168">
        <v>40</v>
      </c>
      <c r="B38" s="285" t="s">
        <v>760</v>
      </c>
      <c r="C38" s="414" t="s">
        <v>1070</v>
      </c>
      <c r="D38" s="241">
        <v>0.19</v>
      </c>
      <c r="E38" s="183" t="s">
        <v>556</v>
      </c>
      <c r="F38" s="413">
        <v>1</v>
      </c>
      <c r="G38" s="183"/>
      <c r="H38" s="183"/>
      <c r="I38" s="241">
        <f t="shared" si="2"/>
        <v>0.19</v>
      </c>
    </row>
    <row r="39" spans="1:9" s="311" customFormat="1" x14ac:dyDescent="0.3">
      <c r="A39" s="168">
        <v>50</v>
      </c>
      <c r="B39" s="285" t="s">
        <v>749</v>
      </c>
      <c r="C39" s="414" t="s">
        <v>1071</v>
      </c>
      <c r="D39" s="241">
        <v>0.13</v>
      </c>
      <c r="E39" s="183" t="s">
        <v>556</v>
      </c>
      <c r="F39" s="413">
        <v>1</v>
      </c>
      <c r="G39" s="183"/>
      <c r="H39" s="183"/>
      <c r="I39" s="241">
        <f t="shared" si="2"/>
        <v>0.13</v>
      </c>
    </row>
    <row r="40" spans="1:9" s="311" customFormat="1" x14ac:dyDescent="0.3">
      <c r="A40" s="183">
        <v>60</v>
      </c>
      <c r="B40" s="285" t="s">
        <v>749</v>
      </c>
      <c r="C40" s="414" t="s">
        <v>1072</v>
      </c>
      <c r="D40" s="241">
        <v>0.13</v>
      </c>
      <c r="E40" s="183" t="s">
        <v>556</v>
      </c>
      <c r="F40" s="413">
        <v>1</v>
      </c>
      <c r="G40" s="183"/>
      <c r="H40" s="183"/>
      <c r="I40" s="241">
        <f t="shared" si="2"/>
        <v>0.13</v>
      </c>
    </row>
    <row r="41" spans="1:9" s="311" customFormat="1" x14ac:dyDescent="0.3">
      <c r="A41" s="168">
        <v>70</v>
      </c>
      <c r="B41" s="285" t="s">
        <v>749</v>
      </c>
      <c r="C41" s="414" t="s">
        <v>1073</v>
      </c>
      <c r="D41" s="241">
        <v>0.13</v>
      </c>
      <c r="E41" s="183" t="s">
        <v>556</v>
      </c>
      <c r="F41" s="413">
        <v>1</v>
      </c>
      <c r="G41" s="183"/>
      <c r="H41" s="183"/>
      <c r="I41" s="241">
        <f t="shared" si="2"/>
        <v>0.13</v>
      </c>
    </row>
    <row r="42" spans="1:9" s="311" customFormat="1" x14ac:dyDescent="0.3">
      <c r="A42" s="168">
        <v>80</v>
      </c>
      <c r="B42" s="285" t="s">
        <v>749</v>
      </c>
      <c r="C42" s="414" t="s">
        <v>1074</v>
      </c>
      <c r="D42" s="241">
        <v>0.13</v>
      </c>
      <c r="E42" s="183" t="s">
        <v>556</v>
      </c>
      <c r="F42" s="413">
        <v>1</v>
      </c>
      <c r="G42" s="183"/>
      <c r="H42" s="183"/>
      <c r="I42" s="241">
        <f t="shared" si="2"/>
        <v>0.13</v>
      </c>
    </row>
    <row r="43" spans="1:9" s="311" customFormat="1" x14ac:dyDescent="0.3">
      <c r="A43" s="183">
        <v>90</v>
      </c>
      <c r="B43" s="414" t="s">
        <v>659</v>
      </c>
      <c r="C43" s="414" t="s">
        <v>1075</v>
      </c>
      <c r="D43" s="185">
        <v>0.5</v>
      </c>
      <c r="E43" s="183" t="s">
        <v>556</v>
      </c>
      <c r="F43" s="413">
        <v>1</v>
      </c>
      <c r="G43" s="183"/>
      <c r="H43" s="183"/>
      <c r="I43" s="241">
        <f t="shared" si="2"/>
        <v>0.5</v>
      </c>
    </row>
    <row r="44" spans="1:9" s="311" customFormat="1" x14ac:dyDescent="0.3">
      <c r="A44" s="168">
        <v>100</v>
      </c>
      <c r="B44" s="285" t="s">
        <v>660</v>
      </c>
      <c r="C44" s="414" t="s">
        <v>818</v>
      </c>
      <c r="D44" s="185">
        <v>0.25</v>
      </c>
      <c r="E44" s="183" t="s">
        <v>556</v>
      </c>
      <c r="F44" s="413">
        <v>1</v>
      </c>
      <c r="G44" s="183"/>
      <c r="H44" s="183"/>
      <c r="I44" s="241">
        <f t="shared" si="2"/>
        <v>0.25</v>
      </c>
    </row>
    <row r="45" spans="1:9" s="311" customFormat="1" x14ac:dyDescent="0.3">
      <c r="A45" s="168">
        <v>110</v>
      </c>
      <c r="B45" s="285" t="s">
        <v>749</v>
      </c>
      <c r="C45" s="311" t="s">
        <v>1076</v>
      </c>
      <c r="D45" s="241">
        <v>0.13</v>
      </c>
      <c r="E45" s="183" t="s">
        <v>556</v>
      </c>
      <c r="F45" s="413">
        <v>1</v>
      </c>
      <c r="G45" s="183"/>
      <c r="H45" s="183"/>
      <c r="I45" s="241">
        <f t="shared" si="2"/>
        <v>0.13</v>
      </c>
    </row>
    <row r="46" spans="1:9" x14ac:dyDescent="0.3">
      <c r="A46" s="183">
        <v>120</v>
      </c>
      <c r="B46" s="179" t="s">
        <v>1004</v>
      </c>
      <c r="C46" s="171" t="s">
        <v>1077</v>
      </c>
      <c r="D46" s="323">
        <v>0.13</v>
      </c>
      <c r="E46" s="168" t="s">
        <v>556</v>
      </c>
      <c r="F46" s="413">
        <v>1</v>
      </c>
      <c r="G46" s="168"/>
      <c r="H46" s="168"/>
      <c r="I46" s="323">
        <f t="shared" si="2"/>
        <v>0.13</v>
      </c>
    </row>
    <row r="47" spans="1:9" ht="14.4" customHeight="1" x14ac:dyDescent="0.3">
      <c r="A47" s="168">
        <v>130</v>
      </c>
      <c r="B47" s="180" t="s">
        <v>659</v>
      </c>
      <c r="C47" s="171" t="s">
        <v>1075</v>
      </c>
      <c r="D47" s="323">
        <v>0.5</v>
      </c>
      <c r="E47" s="168" t="s">
        <v>556</v>
      </c>
      <c r="F47" s="413">
        <v>1</v>
      </c>
      <c r="G47" s="168"/>
      <c r="H47" s="168"/>
      <c r="I47" s="323">
        <f t="shared" si="2"/>
        <v>0.5</v>
      </c>
    </row>
    <row r="48" spans="1:9" x14ac:dyDescent="0.3">
      <c r="A48" s="168">
        <v>140</v>
      </c>
      <c r="B48" s="179" t="s">
        <v>1004</v>
      </c>
      <c r="C48" s="171" t="s">
        <v>1078</v>
      </c>
      <c r="D48" s="323">
        <v>0.06</v>
      </c>
      <c r="E48" s="168" t="s">
        <v>556</v>
      </c>
      <c r="F48" s="413">
        <v>2</v>
      </c>
      <c r="G48" s="168"/>
      <c r="H48" s="168"/>
      <c r="I48" s="323">
        <f t="shared" si="2"/>
        <v>0.12</v>
      </c>
    </row>
    <row r="49" spans="1:9" x14ac:dyDescent="0.3">
      <c r="A49" s="183">
        <v>150</v>
      </c>
      <c r="B49" s="179" t="s">
        <v>1004</v>
      </c>
      <c r="C49" s="171" t="s">
        <v>1079</v>
      </c>
      <c r="D49" s="170">
        <v>0.06</v>
      </c>
      <c r="E49" s="168" t="s">
        <v>556</v>
      </c>
      <c r="F49" s="413">
        <v>1</v>
      </c>
      <c r="G49" s="168"/>
      <c r="H49" s="168"/>
      <c r="I49" s="323">
        <f t="shared" si="2"/>
        <v>0.06</v>
      </c>
    </row>
    <row r="50" spans="1:9" x14ac:dyDescent="0.3">
      <c r="A50" s="168">
        <v>160</v>
      </c>
      <c r="B50" s="171" t="s">
        <v>659</v>
      </c>
      <c r="C50" s="171" t="s">
        <v>1080</v>
      </c>
      <c r="D50" s="170">
        <v>0.5</v>
      </c>
      <c r="E50" s="168" t="s">
        <v>556</v>
      </c>
      <c r="F50" s="413">
        <v>2</v>
      </c>
      <c r="G50" s="168"/>
      <c r="H50" s="168"/>
      <c r="I50" s="323">
        <f t="shared" si="2"/>
        <v>1</v>
      </c>
    </row>
    <row r="51" spans="1:9" x14ac:dyDescent="0.3">
      <c r="A51" s="168">
        <v>170</v>
      </c>
      <c r="B51" s="180" t="s">
        <v>660</v>
      </c>
      <c r="C51" s="171" t="s">
        <v>950</v>
      </c>
      <c r="D51" s="170">
        <v>0.25</v>
      </c>
      <c r="E51" s="168" t="s">
        <v>556</v>
      </c>
      <c r="F51" s="413">
        <v>2</v>
      </c>
      <c r="G51" s="168"/>
      <c r="H51" s="168"/>
      <c r="I51" s="323">
        <f t="shared" si="2"/>
        <v>0.5</v>
      </c>
    </row>
    <row r="52" spans="1:9" x14ac:dyDescent="0.3">
      <c r="A52" s="183">
        <v>180</v>
      </c>
      <c r="B52" s="179" t="s">
        <v>1004</v>
      </c>
      <c r="C52" s="171" t="s">
        <v>1081</v>
      </c>
      <c r="D52" s="170">
        <v>0.06</v>
      </c>
      <c r="E52" s="168" t="s">
        <v>556</v>
      </c>
      <c r="F52" s="413">
        <v>1</v>
      </c>
      <c r="G52" s="168"/>
      <c r="H52" s="168"/>
      <c r="I52" s="323">
        <f t="shared" si="2"/>
        <v>0.06</v>
      </c>
    </row>
    <row r="53" spans="1:9" x14ac:dyDescent="0.3">
      <c r="A53" s="168">
        <v>190</v>
      </c>
      <c r="B53" s="171" t="s">
        <v>659</v>
      </c>
      <c r="C53" s="171" t="s">
        <v>1075</v>
      </c>
      <c r="D53" s="170">
        <v>0.5</v>
      </c>
      <c r="E53" s="168" t="s">
        <v>556</v>
      </c>
      <c r="F53" s="413">
        <v>2</v>
      </c>
      <c r="G53" s="168"/>
      <c r="H53" s="168"/>
      <c r="I53" s="323">
        <f t="shared" si="2"/>
        <v>1</v>
      </c>
    </row>
    <row r="54" spans="1:9" x14ac:dyDescent="0.3">
      <c r="A54" s="168">
        <v>200</v>
      </c>
      <c r="B54" s="179" t="s">
        <v>1004</v>
      </c>
      <c r="C54" s="171" t="s">
        <v>1082</v>
      </c>
      <c r="D54" s="170">
        <v>0.06</v>
      </c>
      <c r="E54" s="168" t="s">
        <v>556</v>
      </c>
      <c r="F54" s="413">
        <v>1</v>
      </c>
      <c r="G54" s="168"/>
      <c r="H54" s="168"/>
      <c r="I54" s="323">
        <f t="shared" si="2"/>
        <v>0.06</v>
      </c>
    </row>
    <row r="55" spans="1:9" x14ac:dyDescent="0.3">
      <c r="A55" s="183">
        <v>210</v>
      </c>
      <c r="B55" s="171" t="s">
        <v>659</v>
      </c>
      <c r="C55" s="171" t="s">
        <v>1080</v>
      </c>
      <c r="D55" s="170">
        <v>0.5</v>
      </c>
      <c r="E55" s="168" t="s">
        <v>556</v>
      </c>
      <c r="F55" s="413">
        <v>1</v>
      </c>
      <c r="G55" s="168"/>
      <c r="H55" s="168"/>
      <c r="I55" s="323">
        <f t="shared" si="2"/>
        <v>0.5</v>
      </c>
    </row>
    <row r="56" spans="1:9" x14ac:dyDescent="0.3">
      <c r="A56" s="168">
        <v>220</v>
      </c>
      <c r="B56" s="179" t="s">
        <v>1004</v>
      </c>
      <c r="C56" s="171" t="s">
        <v>1083</v>
      </c>
      <c r="D56" s="170">
        <v>0.06</v>
      </c>
      <c r="E56" s="168" t="s">
        <v>556</v>
      </c>
      <c r="F56" s="413">
        <v>1</v>
      </c>
      <c r="G56" s="168"/>
      <c r="H56" s="168"/>
      <c r="I56" s="323">
        <f t="shared" si="2"/>
        <v>0.06</v>
      </c>
    </row>
    <row r="57" spans="1:9" x14ac:dyDescent="0.3">
      <c r="A57" s="168">
        <v>230</v>
      </c>
      <c r="B57" s="171" t="s">
        <v>659</v>
      </c>
      <c r="C57" s="171" t="s">
        <v>1080</v>
      </c>
      <c r="D57" s="170">
        <v>0.5</v>
      </c>
      <c r="E57" s="168" t="s">
        <v>556</v>
      </c>
      <c r="F57" s="413">
        <v>2</v>
      </c>
      <c r="G57" s="168"/>
      <c r="H57" s="168"/>
      <c r="I57" s="323">
        <f t="shared" si="2"/>
        <v>1</v>
      </c>
    </row>
    <row r="58" spans="1:9" x14ac:dyDescent="0.3">
      <c r="A58" s="183">
        <v>240</v>
      </c>
      <c r="B58" s="180" t="s">
        <v>660</v>
      </c>
      <c r="C58" s="171" t="s">
        <v>950</v>
      </c>
      <c r="D58" s="170">
        <v>0.25</v>
      </c>
      <c r="E58" s="168" t="s">
        <v>556</v>
      </c>
      <c r="F58" s="413">
        <v>2</v>
      </c>
      <c r="G58" s="168"/>
      <c r="H58" s="168"/>
      <c r="I58" s="323">
        <f t="shared" si="2"/>
        <v>0.5</v>
      </c>
    </row>
    <row r="59" spans="1:9" x14ac:dyDescent="0.3">
      <c r="A59" s="168">
        <v>250</v>
      </c>
      <c r="B59" s="179" t="s">
        <v>1004</v>
      </c>
      <c r="C59" s="171" t="s">
        <v>1084</v>
      </c>
      <c r="D59" s="170">
        <v>0.06</v>
      </c>
      <c r="E59" s="168" t="s">
        <v>556</v>
      </c>
      <c r="F59" s="413">
        <v>1</v>
      </c>
      <c r="G59" s="168"/>
      <c r="H59" s="168"/>
      <c r="I59" s="323">
        <f t="shared" si="2"/>
        <v>0.06</v>
      </c>
    </row>
    <row r="60" spans="1:9" x14ac:dyDescent="0.3">
      <c r="A60" s="168">
        <v>260</v>
      </c>
      <c r="B60" s="180" t="s">
        <v>680</v>
      </c>
      <c r="C60" s="171" t="s">
        <v>1008</v>
      </c>
      <c r="D60" s="170">
        <v>0.5</v>
      </c>
      <c r="E60" s="168" t="s">
        <v>556</v>
      </c>
      <c r="F60" s="413">
        <v>1</v>
      </c>
      <c r="G60" s="168"/>
      <c r="H60" s="168"/>
      <c r="I60" s="323">
        <f t="shared" si="2"/>
        <v>0.5</v>
      </c>
    </row>
    <row r="61" spans="1:9" x14ac:dyDescent="0.3">
      <c r="A61" s="183">
        <v>270</v>
      </c>
      <c r="B61" s="179" t="s">
        <v>1004</v>
      </c>
      <c r="C61" s="171" t="s">
        <v>1085</v>
      </c>
      <c r="D61" s="170">
        <v>0.06</v>
      </c>
      <c r="E61" s="168" t="s">
        <v>556</v>
      </c>
      <c r="F61" s="413">
        <v>1</v>
      </c>
      <c r="G61" s="168"/>
      <c r="H61" s="168"/>
      <c r="I61" s="323">
        <f t="shared" si="2"/>
        <v>0.06</v>
      </c>
    </row>
    <row r="62" spans="1:9" x14ac:dyDescent="0.3">
      <c r="A62" s="168">
        <v>280</v>
      </c>
      <c r="B62" s="180" t="s">
        <v>1086</v>
      </c>
      <c r="C62" s="171" t="s">
        <v>1087</v>
      </c>
      <c r="D62" s="170">
        <v>0.25</v>
      </c>
      <c r="E62" s="168" t="s">
        <v>556</v>
      </c>
      <c r="F62" s="413">
        <v>1</v>
      </c>
      <c r="G62" s="168"/>
      <c r="H62" s="168"/>
      <c r="I62" s="323">
        <f t="shared" si="2"/>
        <v>0.25</v>
      </c>
    </row>
    <row r="63" spans="1:9" x14ac:dyDescent="0.3">
      <c r="A63" s="168">
        <v>290</v>
      </c>
      <c r="B63" s="179" t="s">
        <v>1004</v>
      </c>
      <c r="C63" s="171" t="s">
        <v>1088</v>
      </c>
      <c r="D63" s="170">
        <v>0.06</v>
      </c>
      <c r="E63" s="168" t="s">
        <v>556</v>
      </c>
      <c r="F63" s="413">
        <v>1</v>
      </c>
      <c r="G63" s="168"/>
      <c r="H63" s="168"/>
      <c r="I63" s="323">
        <f t="shared" si="2"/>
        <v>0.06</v>
      </c>
    </row>
    <row r="64" spans="1:9" s="178" customFormat="1" x14ac:dyDescent="0.3">
      <c r="H64" s="321" t="s">
        <v>547</v>
      </c>
      <c r="I64" s="320">
        <f>SUM(I35:I63)</f>
        <v>8.99</v>
      </c>
    </row>
    <row r="66" spans="1:10" s="178" customFormat="1" x14ac:dyDescent="0.3">
      <c r="A66" s="324" t="s">
        <v>544</v>
      </c>
      <c r="B66" s="324" t="s">
        <v>566</v>
      </c>
      <c r="C66" s="324" t="s">
        <v>549</v>
      </c>
      <c r="D66" s="324" t="s">
        <v>550</v>
      </c>
      <c r="E66" s="324" t="s">
        <v>567</v>
      </c>
      <c r="F66" s="324" t="s">
        <v>568</v>
      </c>
      <c r="G66" s="324" t="s">
        <v>569</v>
      </c>
      <c r="H66" s="324" t="s">
        <v>570</v>
      </c>
      <c r="I66" s="324" t="s">
        <v>28</v>
      </c>
      <c r="J66" s="324" t="s">
        <v>547</v>
      </c>
    </row>
    <row r="67" spans="1:10" ht="14.4" customHeight="1" x14ac:dyDescent="0.3">
      <c r="A67" s="168">
        <v>10</v>
      </c>
      <c r="B67" s="225" t="s">
        <v>684</v>
      </c>
      <c r="C67" s="168" t="s">
        <v>1077</v>
      </c>
      <c r="D67" s="170">
        <v>0.03</v>
      </c>
      <c r="E67" s="168">
        <v>5</v>
      </c>
      <c r="F67" s="245" t="s">
        <v>573</v>
      </c>
      <c r="G67" s="168">
        <v>15</v>
      </c>
      <c r="H67" s="171" t="s">
        <v>573</v>
      </c>
      <c r="I67" s="327">
        <v>1</v>
      </c>
      <c r="J67" s="323">
        <f>D67*I67</f>
        <v>0.03</v>
      </c>
    </row>
    <row r="68" spans="1:10" x14ac:dyDescent="0.3">
      <c r="A68" s="168">
        <v>20</v>
      </c>
      <c r="B68" s="225" t="s">
        <v>684</v>
      </c>
      <c r="C68" s="168" t="s">
        <v>1089</v>
      </c>
      <c r="D68" s="170">
        <v>0.03</v>
      </c>
      <c r="E68" s="168">
        <v>5</v>
      </c>
      <c r="F68" s="245" t="s">
        <v>573</v>
      </c>
      <c r="G68" s="168">
        <v>20</v>
      </c>
      <c r="H68" s="171" t="s">
        <v>573</v>
      </c>
      <c r="I68" s="327">
        <v>1</v>
      </c>
      <c r="J68" s="323">
        <f t="shared" ref="J68:J76" si="3">D68*I68</f>
        <v>0.03</v>
      </c>
    </row>
    <row r="69" spans="1:10" x14ac:dyDescent="0.3">
      <c r="A69" s="168">
        <v>30</v>
      </c>
      <c r="B69" s="225" t="s">
        <v>684</v>
      </c>
      <c r="C69" s="168" t="s">
        <v>1081</v>
      </c>
      <c r="D69" s="170">
        <v>0.02</v>
      </c>
      <c r="E69" s="168">
        <v>5</v>
      </c>
      <c r="F69" s="245" t="s">
        <v>573</v>
      </c>
      <c r="G69" s="168">
        <v>10</v>
      </c>
      <c r="H69" s="171" t="s">
        <v>573</v>
      </c>
      <c r="I69" s="327">
        <v>2</v>
      </c>
      <c r="J69" s="323">
        <f t="shared" si="3"/>
        <v>0.04</v>
      </c>
    </row>
    <row r="70" spans="1:10" x14ac:dyDescent="0.3">
      <c r="A70" s="168">
        <v>40</v>
      </c>
      <c r="B70" s="225" t="s">
        <v>684</v>
      </c>
      <c r="C70" s="168" t="s">
        <v>1090</v>
      </c>
      <c r="D70" s="170">
        <v>0.03</v>
      </c>
      <c r="E70" s="168">
        <v>6</v>
      </c>
      <c r="F70" s="245" t="s">
        <v>573</v>
      </c>
      <c r="G70" s="168">
        <v>10</v>
      </c>
      <c r="H70" s="171" t="s">
        <v>573</v>
      </c>
      <c r="I70" s="327">
        <v>1</v>
      </c>
      <c r="J70" s="323">
        <f t="shared" si="3"/>
        <v>0.03</v>
      </c>
    </row>
    <row r="71" spans="1:10" x14ac:dyDescent="0.3">
      <c r="A71" s="168">
        <v>50</v>
      </c>
      <c r="B71" s="225" t="s">
        <v>684</v>
      </c>
      <c r="C71" s="168" t="s">
        <v>1091</v>
      </c>
      <c r="D71" s="170">
        <v>0.04</v>
      </c>
      <c r="E71" s="168">
        <v>6</v>
      </c>
      <c r="F71" s="245" t="s">
        <v>573</v>
      </c>
      <c r="G71" s="168">
        <v>15</v>
      </c>
      <c r="H71" s="171" t="s">
        <v>573</v>
      </c>
      <c r="I71" s="327">
        <v>2</v>
      </c>
      <c r="J71" s="323">
        <f t="shared" si="3"/>
        <v>0.08</v>
      </c>
    </row>
    <row r="72" spans="1:10" x14ac:dyDescent="0.3">
      <c r="A72" s="168">
        <v>60</v>
      </c>
      <c r="B72" s="356" t="s">
        <v>618</v>
      </c>
      <c r="C72" s="168" t="s">
        <v>1091</v>
      </c>
      <c r="D72" s="170">
        <v>0.03</v>
      </c>
      <c r="E72" s="168">
        <v>6</v>
      </c>
      <c r="F72" s="245" t="s">
        <v>573</v>
      </c>
      <c r="G72" s="168"/>
      <c r="H72" s="171"/>
      <c r="I72" s="327">
        <v>2</v>
      </c>
      <c r="J72" s="323">
        <f t="shared" si="3"/>
        <v>0.06</v>
      </c>
    </row>
    <row r="73" spans="1:10" x14ac:dyDescent="0.3">
      <c r="A73" s="168">
        <v>70</v>
      </c>
      <c r="B73" s="400" t="s">
        <v>574</v>
      </c>
      <c r="C73" s="168" t="s">
        <v>1091</v>
      </c>
      <c r="D73" s="170">
        <v>0.01</v>
      </c>
      <c r="E73" s="168">
        <v>6</v>
      </c>
      <c r="F73" s="245" t="s">
        <v>573</v>
      </c>
      <c r="G73" s="168"/>
      <c r="H73" s="171"/>
      <c r="I73" s="327">
        <v>4</v>
      </c>
      <c r="J73" s="323">
        <f t="shared" si="3"/>
        <v>0.04</v>
      </c>
    </row>
    <row r="74" spans="1:10" x14ac:dyDescent="0.3">
      <c r="A74" s="168">
        <v>80</v>
      </c>
      <c r="B74" s="225" t="s">
        <v>684</v>
      </c>
      <c r="C74" s="168" t="s">
        <v>1079</v>
      </c>
      <c r="D74" s="170">
        <v>0.04</v>
      </c>
      <c r="E74" s="168">
        <v>6</v>
      </c>
      <c r="F74" s="189" t="s">
        <v>573</v>
      </c>
      <c r="G74" s="168">
        <v>20</v>
      </c>
      <c r="H74" s="171" t="s">
        <v>573</v>
      </c>
      <c r="I74" s="188">
        <v>2</v>
      </c>
      <c r="J74" s="323">
        <f t="shared" si="3"/>
        <v>0.08</v>
      </c>
    </row>
    <row r="75" spans="1:10" x14ac:dyDescent="0.3">
      <c r="A75" s="168">
        <v>90</v>
      </c>
      <c r="B75" s="356" t="s">
        <v>618</v>
      </c>
      <c r="C75" s="168" t="s">
        <v>1079</v>
      </c>
      <c r="D75" s="170">
        <v>0.03</v>
      </c>
      <c r="E75" s="168">
        <v>6</v>
      </c>
      <c r="F75" s="189" t="s">
        <v>573</v>
      </c>
      <c r="G75" s="168"/>
      <c r="H75" s="171"/>
      <c r="I75" s="188">
        <v>2</v>
      </c>
      <c r="J75" s="323">
        <f t="shared" si="3"/>
        <v>0.06</v>
      </c>
    </row>
    <row r="76" spans="1:10" x14ac:dyDescent="0.3">
      <c r="A76" s="168">
        <v>100</v>
      </c>
      <c r="B76" s="400" t="s">
        <v>574</v>
      </c>
      <c r="C76" s="168" t="s">
        <v>1079</v>
      </c>
      <c r="D76" s="170">
        <v>0.01</v>
      </c>
      <c r="E76" s="168">
        <v>6</v>
      </c>
      <c r="F76" s="189" t="s">
        <v>573</v>
      </c>
      <c r="G76" s="168"/>
      <c r="H76" s="171"/>
      <c r="I76" s="188">
        <v>2</v>
      </c>
      <c r="J76" s="323">
        <f t="shared" si="3"/>
        <v>0.02</v>
      </c>
    </row>
    <row r="77" spans="1:10" x14ac:dyDescent="0.3">
      <c r="A77" s="168">
        <v>110</v>
      </c>
      <c r="B77" s="356" t="s">
        <v>1014</v>
      </c>
      <c r="C77" s="168" t="s">
        <v>1092</v>
      </c>
      <c r="D77" s="170">
        <v>0.8</v>
      </c>
      <c r="E77" s="168">
        <v>75</v>
      </c>
      <c r="F77" s="189" t="s">
        <v>573</v>
      </c>
      <c r="G77" s="168"/>
      <c r="H77" s="171"/>
      <c r="I77" s="188">
        <v>1</v>
      </c>
      <c r="J77" s="323">
        <f>D77*I77</f>
        <v>0.8</v>
      </c>
    </row>
    <row r="78" spans="1:10" s="178" customFormat="1" x14ac:dyDescent="0.3">
      <c r="I78" s="321" t="s">
        <v>547</v>
      </c>
      <c r="J78" s="320">
        <f>SUM(J67:J77)</f>
        <v>1.27</v>
      </c>
    </row>
    <row r="79" spans="1:10" x14ac:dyDescent="0.3">
      <c r="H79" s="326"/>
      <c r="I79" s="325"/>
    </row>
    <row r="80" spans="1:10" s="178" customFormat="1" x14ac:dyDescent="0.3">
      <c r="A80" s="324" t="s">
        <v>544</v>
      </c>
      <c r="B80" s="324" t="s">
        <v>6</v>
      </c>
      <c r="C80" s="324" t="s">
        <v>549</v>
      </c>
      <c r="D80" s="324" t="s">
        <v>550</v>
      </c>
      <c r="E80" s="324" t="s">
        <v>551</v>
      </c>
      <c r="F80" s="324" t="s">
        <v>28</v>
      </c>
      <c r="G80" s="324" t="s">
        <v>691</v>
      </c>
      <c r="H80" s="324" t="s">
        <v>736</v>
      </c>
      <c r="I80" s="324" t="s">
        <v>547</v>
      </c>
    </row>
    <row r="81" spans="1:9" x14ac:dyDescent="0.3">
      <c r="A81" s="168">
        <v>10</v>
      </c>
      <c r="B81" s="179" t="s">
        <v>693</v>
      </c>
      <c r="C81" s="168"/>
      <c r="D81" s="170">
        <v>500</v>
      </c>
      <c r="E81" s="168" t="s">
        <v>695</v>
      </c>
      <c r="F81" s="168">
        <v>8</v>
      </c>
      <c r="G81" s="168">
        <v>3000</v>
      </c>
      <c r="H81" s="413">
        <v>1</v>
      </c>
      <c r="I81" s="322">
        <f>D81*F81/G81*H81</f>
        <v>1.3333333333333333</v>
      </c>
    </row>
    <row r="82" spans="1:9" s="178" customFormat="1" x14ac:dyDescent="0.3">
      <c r="H82" s="321" t="s">
        <v>547</v>
      </c>
      <c r="I82" s="320">
        <f>SUM(I81:I81)</f>
        <v>1.3333333333333333</v>
      </c>
    </row>
  </sheetData>
  <pageMargins left="0.5" right="0.5" top="0.75" bottom="0.75" header="0.3" footer="0.3"/>
  <pageSetup paperSize="9" scale="40" orientation="landscape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1.88671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5.33203125" style="161" customWidth="1"/>
    <col min="8" max="8" width="10.6640625" style="16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4.66406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N11+I17</f>
        <v>5.1784480000000004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1050</v>
      </c>
      <c r="D4" s="342" t="s">
        <v>541</v>
      </c>
      <c r="J4" s="342" t="s">
        <v>538</v>
      </c>
      <c r="M4" s="342" t="s">
        <v>539</v>
      </c>
      <c r="N4" s="336">
        <f>N1*N2</f>
        <v>5.1784480000000004</v>
      </c>
    </row>
    <row r="5" spans="1:14" x14ac:dyDescent="0.3">
      <c r="A5" s="342" t="s">
        <v>537</v>
      </c>
      <c r="B5" s="166" t="s">
        <v>130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799</v>
      </c>
      <c r="C10" s="168"/>
      <c r="D10" s="323">
        <v>4.2</v>
      </c>
      <c r="E10" s="168">
        <v>80</v>
      </c>
      <c r="F10" s="168" t="s">
        <v>573</v>
      </c>
      <c r="G10" s="168">
        <v>40</v>
      </c>
      <c r="H10" s="219" t="s">
        <v>573</v>
      </c>
      <c r="I10" s="269" t="s">
        <v>1093</v>
      </c>
      <c r="J10" s="227">
        <f>E10*G10/1000000</f>
        <v>3.2000000000000002E-3</v>
      </c>
      <c r="K10" s="219">
        <v>0.02</v>
      </c>
      <c r="L10" s="219">
        <v>2710</v>
      </c>
      <c r="M10" s="415">
        <v>1</v>
      </c>
      <c r="N10" s="322">
        <f>IF(J10="",D10*M10,D10*J10*K10*L10*M10)</f>
        <v>0.7284480000000001</v>
      </c>
    </row>
    <row r="11" spans="1:14" s="178" customFormat="1" x14ac:dyDescent="0.3">
      <c r="M11" s="338" t="s">
        <v>547</v>
      </c>
      <c r="N11" s="337">
        <f>SUM(N10:N10)</f>
        <v>0.7284480000000001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 t="s">
        <v>556</v>
      </c>
      <c r="F14" s="183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350" t="s">
        <v>791</v>
      </c>
      <c r="C15" s="171"/>
      <c r="D15" s="323">
        <v>0.35</v>
      </c>
      <c r="E15" s="168" t="s">
        <v>843</v>
      </c>
      <c r="F15" s="183">
        <v>5</v>
      </c>
      <c r="G15" s="180"/>
      <c r="H15" s="179"/>
      <c r="I15" s="323">
        <f>IF($H15&lt;&gt;"",$D15*$F15*$H15,$D15*$F15)</f>
        <v>1.75</v>
      </c>
    </row>
    <row r="16" spans="1:14" ht="28.8" x14ac:dyDescent="0.3">
      <c r="A16" s="168">
        <v>30</v>
      </c>
      <c r="B16" s="171" t="s">
        <v>609</v>
      </c>
      <c r="C16" s="171"/>
      <c r="D16" s="323">
        <v>0.04</v>
      </c>
      <c r="E16" s="168" t="s">
        <v>610</v>
      </c>
      <c r="F16" s="183">
        <v>35</v>
      </c>
      <c r="G16" s="180" t="s">
        <v>723</v>
      </c>
      <c r="H16" s="416">
        <v>1</v>
      </c>
      <c r="I16" s="323">
        <f>IF($H16&lt;&gt;"",$D16*$F16*$H16,$D16*$F16)</f>
        <v>1.4000000000000001</v>
      </c>
    </row>
    <row r="17" spans="8:9" s="178" customFormat="1" x14ac:dyDescent="0.3">
      <c r="H17" s="344" t="s">
        <v>547</v>
      </c>
      <c r="I17" s="337">
        <f>SUM(I14:I16)</f>
        <v>4.45</v>
      </c>
    </row>
    <row r="36" ht="24" customHeight="1" x14ac:dyDescent="0.3"/>
  </sheetData>
  <pageMargins left="0.5" right="0.5" top="0.75" bottom="0.75" header="0.3" footer="0.3"/>
  <pageSetup paperSize="9" orientation="landscape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8.332031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N11+I18</f>
        <v>5.7261110680000007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132</v>
      </c>
      <c r="D4" s="342" t="s">
        <v>541</v>
      </c>
      <c r="J4" s="342" t="s">
        <v>538</v>
      </c>
      <c r="M4" s="342" t="s">
        <v>539</v>
      </c>
      <c r="N4" s="336">
        <f>N1*N2</f>
        <v>5.7261110680000007</v>
      </c>
    </row>
    <row r="5" spans="1:14" x14ac:dyDescent="0.3">
      <c r="A5" s="342" t="s">
        <v>537</v>
      </c>
      <c r="B5" s="166" t="s">
        <v>131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334"/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68" t="s">
        <v>799</v>
      </c>
      <c r="C10" s="168"/>
      <c r="D10" s="323">
        <v>4.2</v>
      </c>
      <c r="E10" s="168">
        <v>42</v>
      </c>
      <c r="F10" s="168" t="s">
        <v>573</v>
      </c>
      <c r="G10" s="168"/>
      <c r="H10" s="219"/>
      <c r="I10" s="220" t="s">
        <v>1094</v>
      </c>
      <c r="J10" s="227">
        <f>3.14*E10*E10/4000000</f>
        <v>1.38474E-3</v>
      </c>
      <c r="K10" s="219">
        <v>0.1</v>
      </c>
      <c r="L10" s="219">
        <v>2710</v>
      </c>
      <c r="M10" s="339">
        <v>1</v>
      </c>
      <c r="N10" s="322">
        <f>IF(J10="",D10*M10,D10*J10*K10*L10*M10)</f>
        <v>1.5761110680000001</v>
      </c>
    </row>
    <row r="11" spans="1:14" s="178" customFormat="1" x14ac:dyDescent="0.3">
      <c r="M11" s="338" t="s">
        <v>547</v>
      </c>
      <c r="N11" s="337">
        <f>SUM(N10:N10)</f>
        <v>1.5761110680000001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35</v>
      </c>
      <c r="G15" s="180" t="s">
        <v>723</v>
      </c>
      <c r="H15" s="179">
        <v>1</v>
      </c>
      <c r="I15" s="323">
        <f>IF($H15&lt;&gt;"",$D15*$F15*$H15,$D15*$F15)</f>
        <v>1.4000000000000001</v>
      </c>
    </row>
    <row r="16" spans="1:14" ht="28.8" x14ac:dyDescent="0.3">
      <c r="A16" s="168">
        <v>30</v>
      </c>
      <c r="B16" s="315" t="s">
        <v>785</v>
      </c>
      <c r="C16" s="171"/>
      <c r="D16" s="323">
        <v>0.65</v>
      </c>
      <c r="E16" s="168" t="s">
        <v>556</v>
      </c>
      <c r="F16" s="168">
        <v>1</v>
      </c>
      <c r="G16" s="168"/>
      <c r="H16" s="168"/>
      <c r="I16" s="323">
        <f>IF($H16&lt;&gt;"",$D16*$F16*$H16,$D16*$F16)</f>
        <v>0.65</v>
      </c>
    </row>
    <row r="17" spans="1:9" ht="28.8" x14ac:dyDescent="0.3">
      <c r="A17" s="168">
        <v>40</v>
      </c>
      <c r="B17" s="171" t="s">
        <v>609</v>
      </c>
      <c r="C17" s="171"/>
      <c r="D17" s="323">
        <v>0.04</v>
      </c>
      <c r="E17" s="168" t="s">
        <v>610</v>
      </c>
      <c r="F17" s="168">
        <v>20</v>
      </c>
      <c r="G17" s="180" t="s">
        <v>723</v>
      </c>
      <c r="H17" s="179">
        <v>1</v>
      </c>
      <c r="I17" s="323">
        <f>IF($H17&lt;&gt;"",$D17*$F17*$H17,$D17*$F17)</f>
        <v>0.8</v>
      </c>
    </row>
    <row r="18" spans="1:9" s="178" customFormat="1" x14ac:dyDescent="0.3">
      <c r="H18" s="344" t="s">
        <v>547</v>
      </c>
      <c r="I18" s="337">
        <f>SUM(I14:I17)</f>
        <v>4.1500000000000004</v>
      </c>
    </row>
    <row r="36" ht="24" customHeight="1" x14ac:dyDescent="0.3"/>
  </sheetData>
  <pageMargins left="0.5" right="0.5" top="0.75" bottom="0.75" header="0.3" footer="0.3"/>
  <pageSetup paperSize="9" scale="69" orientation="landscape"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8.5546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N11+I18</f>
        <v>4.2751134999999998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1051</v>
      </c>
      <c r="D4" s="342" t="s">
        <v>541</v>
      </c>
      <c r="J4" s="342" t="s">
        <v>538</v>
      </c>
      <c r="M4" s="342" t="s">
        <v>539</v>
      </c>
      <c r="N4" s="336">
        <f>N1*N2</f>
        <v>4.2751134999999998</v>
      </c>
    </row>
    <row r="5" spans="1:14" x14ac:dyDescent="0.3">
      <c r="A5" s="342" t="s">
        <v>537</v>
      </c>
      <c r="B5" s="166" t="s">
        <v>133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68" t="s">
        <v>799</v>
      </c>
      <c r="C10" s="168"/>
      <c r="D10" s="323">
        <v>4.2</v>
      </c>
      <c r="E10" s="168">
        <v>55</v>
      </c>
      <c r="F10" s="168" t="s">
        <v>573</v>
      </c>
      <c r="G10" s="168">
        <v>45</v>
      </c>
      <c r="H10" s="219" t="s">
        <v>573</v>
      </c>
      <c r="I10" s="269" t="s">
        <v>1095</v>
      </c>
      <c r="J10" s="227">
        <f>E10*G10/1000000</f>
        <v>2.4750000000000002E-3</v>
      </c>
      <c r="K10" s="219">
        <v>0.03</v>
      </c>
      <c r="L10" s="219">
        <v>2710</v>
      </c>
      <c r="M10" s="339">
        <v>1</v>
      </c>
      <c r="N10" s="322">
        <f>IF(J10="",D10*M10,D10*J10*K10*L10*M10)</f>
        <v>0.84511350000000007</v>
      </c>
    </row>
    <row r="11" spans="1:14" s="178" customFormat="1" x14ac:dyDescent="0.3">
      <c r="M11" s="338" t="s">
        <v>547</v>
      </c>
      <c r="N11" s="337">
        <f>SUM(N10:N10)</f>
        <v>0.84511350000000007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8" x14ac:dyDescent="0.3">
      <c r="A14" s="168">
        <v>10</v>
      </c>
      <c r="B14" s="180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28</v>
      </c>
      <c r="G15" s="180" t="s">
        <v>723</v>
      </c>
      <c r="H15" s="179">
        <v>1</v>
      </c>
      <c r="I15" s="323">
        <f>IF($H15&lt;&gt;"",$D15*$F15*$H15,$D15*$F15)</f>
        <v>1.1200000000000001</v>
      </c>
    </row>
    <row r="16" spans="1:14" ht="28.8" x14ac:dyDescent="0.3">
      <c r="A16" s="168">
        <v>30</v>
      </c>
      <c r="B16" s="315" t="s">
        <v>785</v>
      </c>
      <c r="C16" s="171"/>
      <c r="D16" s="323">
        <v>0.65</v>
      </c>
      <c r="E16" s="168" t="s">
        <v>556</v>
      </c>
      <c r="F16" s="168">
        <v>1</v>
      </c>
      <c r="G16" s="168"/>
      <c r="H16" s="168"/>
      <c r="I16" s="323">
        <f>IF($H16&lt;&gt;"",$D16*$F16*$H16,$D16*$F16)</f>
        <v>0.65</v>
      </c>
    </row>
    <row r="17" spans="1:9" ht="28.8" x14ac:dyDescent="0.3">
      <c r="A17" s="168">
        <v>40</v>
      </c>
      <c r="B17" s="171" t="s">
        <v>609</v>
      </c>
      <c r="C17" s="171"/>
      <c r="D17" s="323">
        <v>0.04</v>
      </c>
      <c r="E17" s="168" t="s">
        <v>610</v>
      </c>
      <c r="F17" s="168">
        <v>9</v>
      </c>
      <c r="G17" s="180" t="s">
        <v>723</v>
      </c>
      <c r="H17" s="179">
        <v>1</v>
      </c>
      <c r="I17" s="323">
        <f>IF($H17&lt;&gt;"",$D17*$F17*$H17,$D17*$F17)</f>
        <v>0.36</v>
      </c>
    </row>
    <row r="18" spans="1:9" s="178" customFormat="1" x14ac:dyDescent="0.3">
      <c r="H18" s="344" t="s">
        <v>547</v>
      </c>
      <c r="I18" s="337">
        <f>SUM(I14:I17)</f>
        <v>3.4299999999999997</v>
      </c>
    </row>
    <row r="36" ht="24" customHeight="1" x14ac:dyDescent="0.3"/>
  </sheetData>
  <pageMargins left="0.5" right="0.5" top="0.75" bottom="0.75" header="0.3" footer="0.3"/>
  <pageSetup paperSize="9" scale="69" orientation="landscape"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N11+I18</f>
        <v>2.7251069999999999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1096</v>
      </c>
      <c r="D4" s="342" t="s">
        <v>541</v>
      </c>
      <c r="J4" s="342" t="s">
        <v>538</v>
      </c>
      <c r="M4" s="342" t="s">
        <v>539</v>
      </c>
      <c r="N4" s="336">
        <f>N1*N2</f>
        <v>2.7251069999999999</v>
      </c>
    </row>
    <row r="5" spans="1:14" x14ac:dyDescent="0.3">
      <c r="A5" s="342" t="s">
        <v>537</v>
      </c>
      <c r="B5" s="166" t="s">
        <v>134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90" t="s">
        <v>606</v>
      </c>
      <c r="C10" s="168" t="s">
        <v>790</v>
      </c>
      <c r="D10" s="170">
        <v>2.25</v>
      </c>
      <c r="E10" s="168">
        <v>10</v>
      </c>
      <c r="F10" s="168" t="s">
        <v>573</v>
      </c>
      <c r="G10" s="168"/>
      <c r="H10" s="219"/>
      <c r="I10" s="269" t="s">
        <v>1097</v>
      </c>
      <c r="J10" s="227">
        <f>3.14*E10*E10/4000000</f>
        <v>7.8499999999999997E-5</v>
      </c>
      <c r="K10" s="417">
        <v>0.04</v>
      </c>
      <c r="L10" s="219">
        <v>7800</v>
      </c>
      <c r="M10" s="339">
        <v>1</v>
      </c>
      <c r="N10" s="322">
        <f>IF(J10="",D10*M10,D10*J10*K10*L10*M10)</f>
        <v>5.5107000000000003E-2</v>
      </c>
    </row>
    <row r="11" spans="1:14" s="178" customFormat="1" x14ac:dyDescent="0.3">
      <c r="M11" s="338" t="s">
        <v>547</v>
      </c>
      <c r="N11" s="337">
        <f>N10</f>
        <v>5.5107000000000003E-2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4</v>
      </c>
      <c r="G15" s="180" t="s">
        <v>598</v>
      </c>
      <c r="H15" s="179">
        <v>3</v>
      </c>
      <c r="I15" s="323">
        <f>IF($H15&lt;&gt;"",$D15*$F15*$H15,$D15*$F15)</f>
        <v>0.48</v>
      </c>
    </row>
    <row r="16" spans="1:14" ht="28.8" x14ac:dyDescent="0.3">
      <c r="A16" s="168">
        <v>30</v>
      </c>
      <c r="B16" s="315" t="s">
        <v>785</v>
      </c>
      <c r="C16" s="171"/>
      <c r="D16" s="323">
        <v>0.65</v>
      </c>
      <c r="E16" s="168" t="s">
        <v>556</v>
      </c>
      <c r="F16" s="168">
        <v>1</v>
      </c>
      <c r="G16" s="168"/>
      <c r="H16" s="168"/>
      <c r="I16" s="323">
        <f>IF($H16&lt;&gt;"",$D16*$F16*$H16,$D16*$F16)</f>
        <v>0.65</v>
      </c>
    </row>
    <row r="17" spans="1:9" ht="28.8" x14ac:dyDescent="0.3">
      <c r="A17" s="168">
        <v>40</v>
      </c>
      <c r="B17" s="171" t="s">
        <v>609</v>
      </c>
      <c r="C17" s="171"/>
      <c r="D17" s="323">
        <v>0.04</v>
      </c>
      <c r="E17" s="168" t="s">
        <v>610</v>
      </c>
      <c r="F17" s="168">
        <v>2</v>
      </c>
      <c r="G17" s="180" t="s">
        <v>598</v>
      </c>
      <c r="H17" s="179">
        <v>3</v>
      </c>
      <c r="I17" s="323">
        <f>IF($H17&lt;&gt;"",$D17*$F17*$H17,$D17*$F17)</f>
        <v>0.24</v>
      </c>
    </row>
    <row r="18" spans="1:9" s="178" customFormat="1" x14ac:dyDescent="0.3">
      <c r="H18" s="338" t="s">
        <v>547</v>
      </c>
      <c r="I18" s="337">
        <f>SUM(I14:I17)</f>
        <v>2.67</v>
      </c>
    </row>
    <row r="36" ht="24" customHeight="1" x14ac:dyDescent="0.3"/>
  </sheetData>
  <pageMargins left="0.5" right="0.5" top="0.75" bottom="0.75" header="0.3" footer="0.3"/>
  <pageSetup paperSize="9" scale="71" orientation="landscape"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4.10937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N11+I18</f>
        <v>2.7113302500000001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1053</v>
      </c>
      <c r="D4" s="342" t="s">
        <v>541</v>
      </c>
      <c r="J4" s="342" t="s">
        <v>538</v>
      </c>
      <c r="M4" s="342" t="s">
        <v>539</v>
      </c>
      <c r="N4" s="336">
        <f>N1*N2</f>
        <v>2.7113302500000001</v>
      </c>
    </row>
    <row r="5" spans="1:14" x14ac:dyDescent="0.3">
      <c r="A5" s="342" t="s">
        <v>537</v>
      </c>
      <c r="B5" s="166" t="s">
        <v>135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90" t="s">
        <v>606</v>
      </c>
      <c r="C10" s="168" t="s">
        <v>790</v>
      </c>
      <c r="D10" s="170">
        <v>2.25</v>
      </c>
      <c r="E10" s="168">
        <v>10</v>
      </c>
      <c r="F10" s="168" t="s">
        <v>573</v>
      </c>
      <c r="G10" s="168"/>
      <c r="H10" s="219"/>
      <c r="I10" s="269" t="s">
        <v>1097</v>
      </c>
      <c r="J10" s="227">
        <f>3.14*E10*E10/4000000</f>
        <v>7.8499999999999997E-5</v>
      </c>
      <c r="K10" s="417">
        <v>0.03</v>
      </c>
      <c r="L10" s="219">
        <v>7800</v>
      </c>
      <c r="M10" s="339">
        <v>1</v>
      </c>
      <c r="N10" s="322">
        <f>IF(J10="",D10*M10,D10*J10*K10*L10*M10)</f>
        <v>4.1330249999999999E-2</v>
      </c>
    </row>
    <row r="11" spans="1:14" s="178" customFormat="1" x14ac:dyDescent="0.3">
      <c r="M11" s="338" t="s">
        <v>547</v>
      </c>
      <c r="N11" s="337">
        <f>SUM(N10:N10)</f>
        <v>4.1330249999999999E-2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4</v>
      </c>
      <c r="G15" s="180" t="s">
        <v>598</v>
      </c>
      <c r="H15" s="179">
        <v>3</v>
      </c>
      <c r="I15" s="323">
        <f>IF($H15&lt;&gt;"",$D15*$F15*$H15,$D15*$F15)</f>
        <v>0.48</v>
      </c>
    </row>
    <row r="16" spans="1:14" ht="28.8" x14ac:dyDescent="0.3">
      <c r="A16" s="168">
        <v>30</v>
      </c>
      <c r="B16" s="315" t="s">
        <v>785</v>
      </c>
      <c r="C16" s="171"/>
      <c r="D16" s="323">
        <v>0.65</v>
      </c>
      <c r="E16" s="168" t="s">
        <v>556</v>
      </c>
      <c r="F16" s="168">
        <v>1</v>
      </c>
      <c r="G16" s="168"/>
      <c r="H16" s="168"/>
      <c r="I16" s="323">
        <f>IF($H16&lt;&gt;"",$D16*$F16*$H16,$D16*$F16)</f>
        <v>0.65</v>
      </c>
    </row>
    <row r="17" spans="1:9" ht="28.8" x14ac:dyDescent="0.3">
      <c r="A17" s="168">
        <v>40</v>
      </c>
      <c r="B17" s="171" t="s">
        <v>609</v>
      </c>
      <c r="C17" s="171"/>
      <c r="D17" s="323">
        <v>0.04</v>
      </c>
      <c r="E17" s="168" t="s">
        <v>610</v>
      </c>
      <c r="F17" s="168">
        <v>2</v>
      </c>
      <c r="G17" s="180" t="s">
        <v>598</v>
      </c>
      <c r="H17" s="179">
        <v>3</v>
      </c>
      <c r="I17" s="323">
        <f>IF($H17&lt;&gt;"",$D17*$F17*$H17,$D17*$F17)</f>
        <v>0.24</v>
      </c>
    </row>
    <row r="18" spans="1:9" s="178" customFormat="1" x14ac:dyDescent="0.3">
      <c r="H18" s="338" t="s">
        <v>547</v>
      </c>
      <c r="I18" s="337">
        <f>SUM(I14:I17)</f>
        <v>2.67</v>
      </c>
    </row>
    <row r="36" ht="24" customHeight="1" x14ac:dyDescent="0.3"/>
  </sheetData>
  <pageMargins left="0.5" right="0.5" top="0.75" bottom="0.75" header="0.3" footer="0.3"/>
  <pageSetup paperSize="9" scale="71" orientation="landscape"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1.49053696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1054</v>
      </c>
      <c r="D4" s="342" t="s">
        <v>541</v>
      </c>
      <c r="J4" s="342" t="s">
        <v>538</v>
      </c>
      <c r="M4" s="342" t="s">
        <v>539</v>
      </c>
      <c r="N4" s="336">
        <f>N1*N2</f>
        <v>1.49053696</v>
      </c>
    </row>
    <row r="5" spans="1:14" x14ac:dyDescent="0.3">
      <c r="A5" s="342" t="s">
        <v>537</v>
      </c>
      <c r="B5" s="166" t="s">
        <v>136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90" t="s">
        <v>606</v>
      </c>
      <c r="C10" s="168"/>
      <c r="D10" s="170">
        <v>2.25</v>
      </c>
      <c r="E10" s="168">
        <v>32</v>
      </c>
      <c r="F10" s="168" t="s">
        <v>573</v>
      </c>
      <c r="G10" s="168"/>
      <c r="H10" s="219"/>
      <c r="I10" s="269" t="s">
        <v>1098</v>
      </c>
      <c r="J10" s="227">
        <f>3.14*E10*E10/4000000</f>
        <v>8.0384E-4</v>
      </c>
      <c r="K10" s="227">
        <v>5.0000000000000001E-3</v>
      </c>
      <c r="L10" s="219">
        <v>7800</v>
      </c>
      <c r="M10" s="339">
        <v>1</v>
      </c>
      <c r="N10" s="322">
        <f>IF(J10="",D10*M10,D10*J10*K10*L10*M10)</f>
        <v>7.0536959999999996E-2</v>
      </c>
    </row>
    <row r="11" spans="1:14" s="178" customFormat="1" x14ac:dyDescent="0.3">
      <c r="M11" s="338" t="s">
        <v>547</v>
      </c>
      <c r="N11" s="337">
        <f>SUM(N10:N10)</f>
        <v>7.0536959999999996E-2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1</v>
      </c>
      <c r="G15" s="180" t="s">
        <v>598</v>
      </c>
      <c r="H15" s="179">
        <v>3</v>
      </c>
      <c r="I15" s="323">
        <f>IF($H15&lt;&gt;"",$D15*$F15*$H15,$D15*$F15)</f>
        <v>0.12</v>
      </c>
    </row>
    <row r="16" spans="1:14" s="178" customFormat="1" x14ac:dyDescent="0.3">
      <c r="H16" s="338" t="s">
        <v>547</v>
      </c>
      <c r="I16" s="337">
        <f>SUM(I14:I15)</f>
        <v>1.42</v>
      </c>
    </row>
    <row r="36" ht="24" customHeight="1" x14ac:dyDescent="0.3"/>
  </sheetData>
  <pageMargins left="0.5" right="0.5" top="0.75" bottom="0.75" header="0.3" footer="0.3"/>
  <pageSetup paperSize="9" orientation="landscape"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2.554687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N11+I18+I22</f>
        <v>4.5684800000000001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1055</v>
      </c>
      <c r="D4" s="342" t="s">
        <v>541</v>
      </c>
      <c r="J4" s="342" t="s">
        <v>538</v>
      </c>
      <c r="M4" s="342" t="s">
        <v>539</v>
      </c>
      <c r="N4" s="336">
        <f>N1*N2</f>
        <v>4.5684800000000001</v>
      </c>
    </row>
    <row r="5" spans="1:14" x14ac:dyDescent="0.3">
      <c r="A5" s="342" t="s">
        <v>537</v>
      </c>
      <c r="B5" s="166" t="s">
        <v>137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90" t="s">
        <v>606</v>
      </c>
      <c r="C10" s="168"/>
      <c r="D10" s="170">
        <v>2.25</v>
      </c>
      <c r="E10" s="168">
        <v>80</v>
      </c>
      <c r="F10" s="168" t="s">
        <v>573</v>
      </c>
      <c r="G10" s="168">
        <v>60</v>
      </c>
      <c r="H10" s="219" t="s">
        <v>573</v>
      </c>
      <c r="I10" s="269" t="s">
        <v>1099</v>
      </c>
      <c r="J10" s="227">
        <f>E10*G10/1000000</f>
        <v>4.7999999999999996E-3</v>
      </c>
      <c r="K10" s="227">
        <v>2E-3</v>
      </c>
      <c r="L10" s="219">
        <v>7800</v>
      </c>
      <c r="M10" s="339">
        <v>1</v>
      </c>
      <c r="N10" s="322">
        <f>IF(J10="",D10*M10,D10*J10*K10*L10*M10)</f>
        <v>0.16847999999999996</v>
      </c>
    </row>
    <row r="11" spans="1:14" s="178" customFormat="1" x14ac:dyDescent="0.3">
      <c r="M11" s="338" t="s">
        <v>547</v>
      </c>
      <c r="N11" s="337">
        <f>SUM(N10:N10)</f>
        <v>0.16847999999999996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30" customHeight="1" x14ac:dyDescent="0.3">
      <c r="A14" s="168">
        <v>10</v>
      </c>
      <c r="B14" s="315" t="s">
        <v>589</v>
      </c>
      <c r="C14" s="171"/>
      <c r="D14" s="170">
        <v>1.3</v>
      </c>
      <c r="E14" s="168" t="s">
        <v>556</v>
      </c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80" t="s">
        <v>700</v>
      </c>
      <c r="C15" s="171"/>
      <c r="D15" s="170">
        <v>0.01</v>
      </c>
      <c r="E15" s="168" t="s">
        <v>593</v>
      </c>
      <c r="F15" s="168">
        <v>35</v>
      </c>
      <c r="G15" s="180" t="s">
        <v>598</v>
      </c>
      <c r="H15" s="179">
        <v>3</v>
      </c>
      <c r="I15" s="323">
        <f>IF($H15&lt;&gt;"",$D15*$F15*$H15,$D15*$F15)</f>
        <v>1.05</v>
      </c>
    </row>
    <row r="16" spans="1:14" ht="14.4" customHeight="1" x14ac:dyDescent="0.3">
      <c r="A16" s="168">
        <v>30</v>
      </c>
      <c r="B16" s="180" t="s">
        <v>702</v>
      </c>
      <c r="C16" s="171"/>
      <c r="D16" s="170">
        <v>0.25</v>
      </c>
      <c r="E16" s="168" t="s">
        <v>704</v>
      </c>
      <c r="F16" s="168">
        <v>3</v>
      </c>
      <c r="G16" s="168"/>
      <c r="H16" s="168"/>
      <c r="I16" s="323">
        <f>IF($H16&lt;&gt;"",$D16*$F16*$H16,$D16*$F16)</f>
        <v>0.75</v>
      </c>
    </row>
    <row r="17" spans="1:9" x14ac:dyDescent="0.3">
      <c r="A17" s="168">
        <v>40</v>
      </c>
      <c r="B17" s="171" t="s">
        <v>650</v>
      </c>
      <c r="C17" s="171"/>
      <c r="D17" s="323">
        <v>0.15</v>
      </c>
      <c r="E17" s="168" t="s">
        <v>593</v>
      </c>
      <c r="F17" s="168">
        <v>2</v>
      </c>
      <c r="G17" s="168"/>
      <c r="H17" s="168"/>
      <c r="I17" s="323">
        <f>IF($H17&lt;&gt;"",$D17*$F17*$H17,$D17*$F17)</f>
        <v>0.3</v>
      </c>
    </row>
    <row r="18" spans="1:9" s="178" customFormat="1" x14ac:dyDescent="0.3">
      <c r="H18" s="338" t="s">
        <v>547</v>
      </c>
      <c r="I18" s="337">
        <f>SUM(I14:I17)</f>
        <v>3.4</v>
      </c>
    </row>
    <row r="19" spans="1:9" x14ac:dyDescent="0.3">
      <c r="H19" s="326"/>
      <c r="I19" s="325"/>
    </row>
    <row r="20" spans="1:9" s="178" customFormat="1" x14ac:dyDescent="0.3">
      <c r="A20" s="341" t="s">
        <v>544</v>
      </c>
      <c r="B20" s="341" t="s">
        <v>6</v>
      </c>
      <c r="C20" s="341" t="s">
        <v>549</v>
      </c>
      <c r="D20" s="341" t="s">
        <v>550</v>
      </c>
      <c r="E20" s="341" t="s">
        <v>551</v>
      </c>
      <c r="F20" s="341" t="s">
        <v>28</v>
      </c>
      <c r="G20" s="341" t="s">
        <v>691</v>
      </c>
      <c r="H20" s="341" t="s">
        <v>692</v>
      </c>
      <c r="I20" s="341" t="s">
        <v>547</v>
      </c>
    </row>
    <row r="21" spans="1:9" x14ac:dyDescent="0.3">
      <c r="A21" s="168">
        <v>10</v>
      </c>
      <c r="B21" s="179" t="s">
        <v>693</v>
      </c>
      <c r="C21" s="168"/>
      <c r="D21" s="170">
        <v>500</v>
      </c>
      <c r="E21" s="168" t="s">
        <v>695</v>
      </c>
      <c r="F21" s="168">
        <v>6</v>
      </c>
      <c r="G21" s="168">
        <v>3000</v>
      </c>
      <c r="H21" s="168">
        <v>1</v>
      </c>
      <c r="I21" s="323">
        <f>IF('EN 06007'!$G21&lt;&gt;"",D21*F21/G21*H21,"")</f>
        <v>1</v>
      </c>
    </row>
    <row r="22" spans="1:9" s="178" customFormat="1" x14ac:dyDescent="0.3">
      <c r="H22" s="338" t="s">
        <v>547</v>
      </c>
      <c r="I22" s="337">
        <f>SUM(I21:I21)</f>
        <v>1</v>
      </c>
    </row>
    <row r="23" spans="1:9" x14ac:dyDescent="0.3">
      <c r="H23" s="326"/>
      <c r="I23" s="325"/>
    </row>
    <row r="36" ht="24" customHeight="1" x14ac:dyDescent="0.3"/>
  </sheetData>
  <pageMargins left="0.5" right="0.5" top="0.75" bottom="0.75" header="0.3" footer="0.3"/>
  <pageSetup paperSize="9" orientation="landscape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1"/>
  <sheetViews>
    <sheetView showGridLines="0" workbookViewId="0"/>
  </sheetViews>
  <sheetFormatPr defaultColWidth="11.44140625" defaultRowHeight="14.4" x14ac:dyDescent="0.3"/>
  <cols>
    <col min="2" max="2" width="26.44140625" customWidth="1"/>
    <col min="3" max="3" width="15.109375" customWidth="1"/>
    <col min="13" max="13" width="14.8867187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N11</f>
        <v>83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2</v>
      </c>
    </row>
    <row r="3" spans="1:14" x14ac:dyDescent="0.3">
      <c r="A3" s="197" t="s">
        <v>534</v>
      </c>
      <c r="B3" t="s">
        <v>579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6" t="s">
        <v>42</v>
      </c>
      <c r="D4" s="197" t="s">
        <v>541</v>
      </c>
      <c r="J4" s="197" t="s">
        <v>538</v>
      </c>
      <c r="M4" s="197" t="s">
        <v>539</v>
      </c>
      <c r="N4" s="164">
        <f>N1*N2</f>
        <v>166</v>
      </c>
    </row>
    <row r="5" spans="1:14" x14ac:dyDescent="0.3">
      <c r="A5" s="197" t="s">
        <v>537</v>
      </c>
      <c r="B5" s="199" t="s">
        <v>41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200" t="s">
        <v>542</v>
      </c>
      <c r="B7" s="161" t="s">
        <v>599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ht="18.600000000000001" customHeight="1" x14ac:dyDescent="0.3">
      <c r="A10" s="168">
        <v>10</v>
      </c>
      <c r="B10" s="190" t="s">
        <v>600</v>
      </c>
      <c r="C10" s="218" t="s">
        <v>42</v>
      </c>
      <c r="D10" s="170">
        <v>83</v>
      </c>
      <c r="E10" s="168"/>
      <c r="F10" s="168"/>
      <c r="G10" s="168"/>
      <c r="H10" s="219"/>
      <c r="I10" s="220"/>
      <c r="J10" s="221"/>
      <c r="K10" s="219"/>
      <c r="L10" s="219"/>
      <c r="M10" s="222">
        <v>1</v>
      </c>
      <c r="N10" s="223">
        <v>83</v>
      </c>
    </row>
    <row r="11" spans="1:14" x14ac:dyDescent="0.3">
      <c r="A11" s="178"/>
      <c r="B11" s="178"/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212" t="s">
        <v>547</v>
      </c>
      <c r="N11" s="224">
        <f>N10</f>
        <v>83</v>
      </c>
    </row>
  </sheetData>
  <pageMargins left="0.7" right="0.7" top="0.75" bottom="0.75" header="0.3" footer="0.3"/>
  <pageSetup paperSize="9" scale="71" fitToHeight="0" orientation="landscape"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8.332031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2.0383140625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1056</v>
      </c>
      <c r="D4" s="342" t="s">
        <v>541</v>
      </c>
      <c r="J4" s="342" t="s">
        <v>538</v>
      </c>
      <c r="M4" s="342" t="s">
        <v>539</v>
      </c>
      <c r="N4" s="336">
        <f>N1*N2</f>
        <v>2.0383140625</v>
      </c>
    </row>
    <row r="5" spans="1:14" x14ac:dyDescent="0.3">
      <c r="A5" s="342" t="s">
        <v>537</v>
      </c>
      <c r="B5" s="166" t="s">
        <v>138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190" t="s">
        <v>606</v>
      </c>
      <c r="C10" s="168" t="s">
        <v>790</v>
      </c>
      <c r="D10" s="170">
        <v>2.25</v>
      </c>
      <c r="E10" s="168">
        <v>25</v>
      </c>
      <c r="F10" s="168" t="s">
        <v>573</v>
      </c>
      <c r="G10" s="168"/>
      <c r="H10" s="219"/>
      <c r="I10" s="269" t="s">
        <v>1100</v>
      </c>
      <c r="J10" s="227">
        <f>3.14*E10*E10/4000000</f>
        <v>4.9062499999999996E-4</v>
      </c>
      <c r="K10" s="417">
        <v>0.03</v>
      </c>
      <c r="L10" s="219">
        <v>7800</v>
      </c>
      <c r="M10" s="339">
        <v>1</v>
      </c>
      <c r="N10" s="322">
        <f>IF(J10="",D10*M10,D10*J10*K10*L10*M10)</f>
        <v>0.25831406249999994</v>
      </c>
    </row>
    <row r="11" spans="1:14" s="178" customFormat="1" x14ac:dyDescent="0.3">
      <c r="M11" s="338" t="s">
        <v>547</v>
      </c>
      <c r="N11" s="337">
        <f>SUM(N10:N10)</f>
        <v>0.25831406249999994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95" customHeight="1" x14ac:dyDescent="0.3">
      <c r="A14" s="168">
        <v>10</v>
      </c>
      <c r="B14" s="180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4</v>
      </c>
      <c r="G15" s="180" t="s">
        <v>598</v>
      </c>
      <c r="H15" s="179">
        <v>3</v>
      </c>
      <c r="I15" s="323">
        <f>IF($H15&lt;&gt;"",$D15*$F15*$H15,$D15*$F15)</f>
        <v>0.48</v>
      </c>
    </row>
    <row r="16" spans="1:14" s="178" customFormat="1" x14ac:dyDescent="0.3">
      <c r="H16" s="338" t="s">
        <v>547</v>
      </c>
      <c r="I16" s="337">
        <f>SUM(I14:I15)</f>
        <v>1.78</v>
      </c>
    </row>
    <row r="36" ht="24" customHeight="1" x14ac:dyDescent="0.3"/>
  </sheetData>
  <pageMargins left="0.5" right="0.5" top="0.75" bottom="0.75" header="0.3" footer="0.3"/>
  <pageSetup paperSize="9" orientation="landscape"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N11+I16</f>
        <v>12.50282176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1057</v>
      </c>
      <c r="D4" s="342" t="s">
        <v>541</v>
      </c>
      <c r="J4" s="342" t="s">
        <v>538</v>
      </c>
      <c r="M4" s="342" t="s">
        <v>539</v>
      </c>
      <c r="N4" s="336">
        <f>N1*N2</f>
        <v>12.50282176</v>
      </c>
    </row>
    <row r="5" spans="1:14" x14ac:dyDescent="0.3">
      <c r="A5" s="342" t="s">
        <v>537</v>
      </c>
      <c r="B5" s="166" t="s">
        <v>139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84" t="s">
        <v>799</v>
      </c>
      <c r="C10" s="168"/>
      <c r="D10" s="323">
        <v>4.2</v>
      </c>
      <c r="E10" s="168">
        <v>80</v>
      </c>
      <c r="F10" s="168" t="s">
        <v>573</v>
      </c>
      <c r="G10" s="168"/>
      <c r="H10" s="219"/>
      <c r="I10" s="220" t="s">
        <v>1101</v>
      </c>
      <c r="J10" s="227">
        <f>3.14*E10*E10/4000000</f>
        <v>5.0239999999999998E-3</v>
      </c>
      <c r="K10" s="219">
        <v>7.0000000000000007E-2</v>
      </c>
      <c r="L10" s="219">
        <v>2710</v>
      </c>
      <c r="M10" s="339">
        <v>1</v>
      </c>
      <c r="N10" s="322">
        <f>IF(J10="",D10*M10,D10*J10*K10*L10*M10)</f>
        <v>4.0028217599999998</v>
      </c>
    </row>
    <row r="11" spans="1:14" s="178" customFormat="1" x14ac:dyDescent="0.3">
      <c r="M11" s="338" t="s">
        <v>547</v>
      </c>
      <c r="N11" s="337">
        <f>SUM(N10:N10)</f>
        <v>4.0028217599999998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43.2" x14ac:dyDescent="0.3">
      <c r="A14" s="168">
        <v>10</v>
      </c>
      <c r="B14" s="180" t="s">
        <v>589</v>
      </c>
      <c r="C14" s="171"/>
      <c r="D14" s="323">
        <v>1.3</v>
      </c>
      <c r="E14" s="168" t="s">
        <v>556</v>
      </c>
      <c r="F14" s="168">
        <v>1</v>
      </c>
      <c r="G14" s="168"/>
      <c r="H14" s="168"/>
      <c r="I14" s="323">
        <f>IF($H14&lt;&gt;"",$D14*$F14*$H14,$D14*$F14)</f>
        <v>1.3</v>
      </c>
    </row>
    <row r="15" spans="1:14" ht="28.8" x14ac:dyDescent="0.3">
      <c r="A15" s="168">
        <v>20</v>
      </c>
      <c r="B15" s="171" t="s">
        <v>609</v>
      </c>
      <c r="C15" s="171"/>
      <c r="D15" s="323">
        <v>0.04</v>
      </c>
      <c r="E15" s="168" t="s">
        <v>610</v>
      </c>
      <c r="F15" s="168">
        <v>180</v>
      </c>
      <c r="G15" s="180" t="s">
        <v>723</v>
      </c>
      <c r="H15" s="179">
        <v>1</v>
      </c>
      <c r="I15" s="323">
        <f>IF($H15&lt;&gt;"",$D15*$F15*$H15,$D15*$F15)</f>
        <v>7.2</v>
      </c>
    </row>
    <row r="16" spans="1:14" s="178" customFormat="1" x14ac:dyDescent="0.3">
      <c r="H16" s="344" t="s">
        <v>547</v>
      </c>
      <c r="I16" s="337">
        <f>SUM(I14:I15)</f>
        <v>8.5</v>
      </c>
    </row>
    <row r="36" ht="24" customHeight="1" x14ac:dyDescent="0.3"/>
  </sheetData>
  <pageMargins left="0.5" right="0.5" top="0.75" bottom="0.75" header="0.3" footer="0.3"/>
  <pageSetup paperSize="9" scale="71" orientation="landscape"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5" style="161" customWidth="1"/>
    <col min="3" max="3" width="14.21875" style="161" customWidth="1"/>
    <col min="4" max="4" width="13.5546875" style="161" bestFit="1" customWidth="1"/>
    <col min="5" max="5" width="14.109375" style="161" bestFit="1" customWidth="1"/>
    <col min="6" max="6" width="9.33203125" style="161" customWidth="1"/>
    <col min="7" max="7" width="19.109375" style="16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164">
        <f>N11+I17</f>
        <v>1.2881782500000001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141</v>
      </c>
      <c r="D4" s="342" t="s">
        <v>541</v>
      </c>
      <c r="J4" s="342" t="s">
        <v>538</v>
      </c>
      <c r="M4" s="342" t="s">
        <v>539</v>
      </c>
      <c r="N4" s="164">
        <f>N1*N2</f>
        <v>2.5763565000000002</v>
      </c>
    </row>
    <row r="5" spans="1:14" x14ac:dyDescent="0.3">
      <c r="A5" s="342" t="s">
        <v>537</v>
      </c>
      <c r="B5" s="166" t="s">
        <v>140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90" t="s">
        <v>606</v>
      </c>
      <c r="C10" s="168" t="s">
        <v>976</v>
      </c>
      <c r="D10" s="170">
        <v>2.25</v>
      </c>
      <c r="E10" s="168">
        <v>17</v>
      </c>
      <c r="F10" s="168" t="s">
        <v>573</v>
      </c>
      <c r="G10" s="168">
        <v>65</v>
      </c>
      <c r="H10" s="219" t="s">
        <v>573</v>
      </c>
      <c r="I10" s="269" t="s">
        <v>1102</v>
      </c>
      <c r="J10" s="227">
        <f>E10*G10/1000000</f>
        <v>1.1050000000000001E-3</v>
      </c>
      <c r="K10" s="227">
        <v>3.0000000000000001E-3</v>
      </c>
      <c r="L10" s="219">
        <v>7800</v>
      </c>
      <c r="M10" s="222">
        <v>1</v>
      </c>
      <c r="N10" s="223">
        <f>IF(J10="",D10*M10,D10*J10*K10*L10*M10)</f>
        <v>5.8178250000000001E-2</v>
      </c>
    </row>
    <row r="11" spans="1:14" s="178" customFormat="1" x14ac:dyDescent="0.3">
      <c r="M11" s="338" t="s">
        <v>547</v>
      </c>
      <c r="N11" s="337">
        <f>SUM(N10:N10)</f>
        <v>5.8178250000000001E-2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8" x14ac:dyDescent="0.3">
      <c r="A14" s="168">
        <v>10</v>
      </c>
      <c r="B14" s="315" t="s">
        <v>589</v>
      </c>
      <c r="C14" s="193" t="s">
        <v>2941</v>
      </c>
      <c r="D14" s="170">
        <v>1.3</v>
      </c>
      <c r="E14" s="168" t="s">
        <v>556</v>
      </c>
      <c r="F14" s="168">
        <v>1</v>
      </c>
      <c r="G14" s="184" t="s">
        <v>2890</v>
      </c>
      <c r="H14" s="168">
        <v>0.5</v>
      </c>
      <c r="I14" s="170">
        <f>IF($H14&lt;&gt;"",$D14*$F14*$H14,$D14*$F14)</f>
        <v>0.65</v>
      </c>
    </row>
    <row r="15" spans="1:14" x14ac:dyDescent="0.3">
      <c r="A15" s="168">
        <v>20</v>
      </c>
      <c r="B15" s="180" t="s">
        <v>700</v>
      </c>
      <c r="C15" s="171"/>
      <c r="D15" s="170">
        <v>0.01</v>
      </c>
      <c r="E15" s="168" t="s">
        <v>593</v>
      </c>
      <c r="F15" s="168">
        <v>11</v>
      </c>
      <c r="G15" s="180" t="s">
        <v>598</v>
      </c>
      <c r="H15" s="179">
        <v>3</v>
      </c>
      <c r="I15" s="170">
        <f>IF($H15&lt;&gt;"",$D15*$F15*$H15,$D15*$F15)</f>
        <v>0.33</v>
      </c>
    </row>
    <row r="16" spans="1:14" x14ac:dyDescent="0.3">
      <c r="A16" s="168">
        <v>30</v>
      </c>
      <c r="B16" s="180" t="s">
        <v>702</v>
      </c>
      <c r="C16" s="171"/>
      <c r="D16" s="170">
        <v>0.25</v>
      </c>
      <c r="E16" s="168" t="s">
        <v>704</v>
      </c>
      <c r="F16" s="168">
        <v>1</v>
      </c>
      <c r="G16" s="168"/>
      <c r="H16" s="168"/>
      <c r="I16" s="170">
        <f>IF($H16&lt;&gt;"",$D16*$F16*$H16,$D16*$F16)</f>
        <v>0.25</v>
      </c>
    </row>
    <row r="17" spans="8:9" s="178" customFormat="1" x14ac:dyDescent="0.3">
      <c r="H17" s="338" t="s">
        <v>547</v>
      </c>
      <c r="I17" s="337">
        <f>SUM(I14:I16)</f>
        <v>1.23</v>
      </c>
    </row>
    <row r="36" ht="24" customHeight="1" x14ac:dyDescent="0.3"/>
  </sheetData>
  <pageMargins left="0.5" right="0.5" top="0.75" bottom="0.75" header="0.3" footer="0.3"/>
  <pageSetup paperSize="9" scale="65" orientation="landscape"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1.77734375" style="161" customWidth="1"/>
    <col min="3" max="3" width="13.777343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8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164">
        <f>N11+I17</f>
        <v>2.923168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1103</v>
      </c>
      <c r="D4" s="342" t="s">
        <v>541</v>
      </c>
      <c r="J4" s="342" t="s">
        <v>538</v>
      </c>
      <c r="M4" s="342" t="s">
        <v>539</v>
      </c>
      <c r="N4" s="164">
        <f>N1*N2</f>
        <v>2.923168</v>
      </c>
    </row>
    <row r="5" spans="1:14" x14ac:dyDescent="0.3">
      <c r="A5" s="342" t="s">
        <v>537</v>
      </c>
      <c r="B5" s="166" t="s">
        <v>142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90" t="s">
        <v>799</v>
      </c>
      <c r="C10" s="168" t="s">
        <v>1104</v>
      </c>
      <c r="D10" s="170">
        <v>4.2</v>
      </c>
      <c r="E10" s="168">
        <v>400</v>
      </c>
      <c r="F10" s="168" t="s">
        <v>573</v>
      </c>
      <c r="G10" s="168">
        <v>20</v>
      </c>
      <c r="H10" s="219" t="s">
        <v>573</v>
      </c>
      <c r="I10" s="269" t="s">
        <v>1105</v>
      </c>
      <c r="J10" s="227">
        <f>E10*G10/1000000</f>
        <v>8.0000000000000002E-3</v>
      </c>
      <c r="K10" s="227">
        <v>3.0000000000000001E-3</v>
      </c>
      <c r="L10" s="219">
        <v>2710</v>
      </c>
      <c r="M10" s="222">
        <v>1</v>
      </c>
      <c r="N10" s="223">
        <f>IF(J10="",D10*M10,D10*J10*K10*L10*M10)</f>
        <v>0.27316800000000002</v>
      </c>
    </row>
    <row r="11" spans="1:14" s="178" customFormat="1" x14ac:dyDescent="0.3">
      <c r="M11" s="338" t="s">
        <v>547</v>
      </c>
      <c r="N11" s="337">
        <f>SUM(N10:N10)</f>
        <v>0.27316800000000002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x14ac:dyDescent="0.3">
      <c r="A14" s="168">
        <v>10</v>
      </c>
      <c r="B14" s="180" t="s">
        <v>589</v>
      </c>
      <c r="C14" s="171"/>
      <c r="D14" s="170">
        <v>1.3</v>
      </c>
      <c r="E14" s="168" t="s">
        <v>556</v>
      </c>
      <c r="F14" s="168">
        <v>1</v>
      </c>
      <c r="G14" s="168"/>
      <c r="H14" s="168"/>
      <c r="I14" s="170">
        <f>IF($H14&lt;&gt;"",$D14*$F14*$H14,$D14*$F14)</f>
        <v>1.3</v>
      </c>
    </row>
    <row r="15" spans="1:14" ht="28.8" x14ac:dyDescent="0.3">
      <c r="A15" s="168">
        <v>20</v>
      </c>
      <c r="B15" s="418" t="s">
        <v>700</v>
      </c>
      <c r="C15" s="171"/>
      <c r="D15" s="170">
        <v>0.01</v>
      </c>
      <c r="E15" s="168" t="s">
        <v>593</v>
      </c>
      <c r="F15" s="168">
        <v>85</v>
      </c>
      <c r="G15" s="180" t="s">
        <v>723</v>
      </c>
      <c r="H15" s="179">
        <v>1</v>
      </c>
      <c r="I15" s="170">
        <f>IF($H15&lt;&gt;"",$D15*$F15*$H15,$D15*$F15)</f>
        <v>0.85</v>
      </c>
    </row>
    <row r="16" spans="1:14" x14ac:dyDescent="0.3">
      <c r="A16" s="168">
        <v>30</v>
      </c>
      <c r="B16" s="171" t="s">
        <v>702</v>
      </c>
      <c r="C16" s="171"/>
      <c r="D16" s="170">
        <v>0.25</v>
      </c>
      <c r="E16" s="168" t="s">
        <v>704</v>
      </c>
      <c r="F16" s="168">
        <v>2</v>
      </c>
      <c r="G16" s="168"/>
      <c r="H16" s="168"/>
      <c r="I16" s="170">
        <f>IF($H16&lt;&gt;"",$D16*$F16*$H16,$D16*$F16)</f>
        <v>0.5</v>
      </c>
    </row>
    <row r="17" spans="8:9" s="178" customFormat="1" x14ac:dyDescent="0.3">
      <c r="H17" s="338" t="s">
        <v>547</v>
      </c>
      <c r="I17" s="337">
        <f>SUM(I14:I16)</f>
        <v>2.65</v>
      </c>
    </row>
    <row r="36" ht="24" customHeight="1" x14ac:dyDescent="0.3"/>
  </sheetData>
  <pageMargins left="0.5" right="0.5" top="0.75" bottom="0.75" header="0.3" footer="0.3"/>
  <pageSetup paperSize="9" scale="65" orientation="landscape"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25.109375" style="161" bestFit="1" customWidth="1"/>
    <col min="3" max="3" width="16.88671875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164">
        <f>N11+I15</f>
        <v>0.50731680000000001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1" t="s">
        <v>1059</v>
      </c>
      <c r="D4" s="342" t="s">
        <v>541</v>
      </c>
      <c r="J4" s="342" t="s">
        <v>538</v>
      </c>
      <c r="M4" s="342" t="s">
        <v>539</v>
      </c>
      <c r="N4" s="164">
        <f>N1*N2</f>
        <v>0.50731680000000001</v>
      </c>
    </row>
    <row r="5" spans="1:14" x14ac:dyDescent="0.3">
      <c r="A5" s="342" t="s">
        <v>537</v>
      </c>
      <c r="B5" s="166" t="s">
        <v>143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90" t="s">
        <v>799</v>
      </c>
      <c r="C10" s="168" t="s">
        <v>864</v>
      </c>
      <c r="D10" s="170">
        <v>4.2</v>
      </c>
      <c r="E10" s="168">
        <v>80</v>
      </c>
      <c r="F10" s="168" t="s">
        <v>573</v>
      </c>
      <c r="G10" s="168">
        <v>20</v>
      </c>
      <c r="H10" s="219" t="s">
        <v>573</v>
      </c>
      <c r="I10" s="269" t="s">
        <v>1106</v>
      </c>
      <c r="J10" s="227">
        <f>E10*G10/1000000</f>
        <v>1.6000000000000001E-3</v>
      </c>
      <c r="K10" s="227">
        <v>1.5E-3</v>
      </c>
      <c r="L10" s="219">
        <v>2710</v>
      </c>
      <c r="M10" s="222">
        <v>1</v>
      </c>
      <c r="N10" s="223">
        <f>IF(J10="",D10*M10,D10*J10*K10*L10*M10)</f>
        <v>2.7316799999999999E-2</v>
      </c>
    </row>
    <row r="11" spans="1:14" s="178" customFormat="1" x14ac:dyDescent="0.3">
      <c r="M11" s="338" t="s">
        <v>547</v>
      </c>
      <c r="N11" s="337">
        <f>SUM(N10:N10)</f>
        <v>2.7316799999999999E-2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x14ac:dyDescent="0.3">
      <c r="A14" s="168">
        <v>10</v>
      </c>
      <c r="B14" s="180" t="s">
        <v>853</v>
      </c>
      <c r="C14" s="171"/>
      <c r="D14" s="170">
        <v>0.03</v>
      </c>
      <c r="E14" s="168" t="s">
        <v>852</v>
      </c>
      <c r="F14" s="168">
        <v>16</v>
      </c>
      <c r="G14" s="168"/>
      <c r="H14" s="168"/>
      <c r="I14" s="170">
        <f>IF($H14&lt;&gt;"",$D14*$F14*$H14,$D14*$F14)</f>
        <v>0.48</v>
      </c>
    </row>
    <row r="15" spans="1:14" s="178" customFormat="1" x14ac:dyDescent="0.3">
      <c r="H15" s="338" t="s">
        <v>547</v>
      </c>
      <c r="I15" s="337">
        <f>SUM(I14:I14)</f>
        <v>0.48</v>
      </c>
    </row>
    <row r="36" ht="24" customHeight="1" x14ac:dyDescent="0.3"/>
  </sheetData>
  <pageMargins left="0.5" right="0.5" top="0.75" bottom="0.75" header="0.3" footer="0.3"/>
  <pageSetup paperSize="9" orientation="landscape"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6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33.6640625" style="161" customWidth="1"/>
    <col min="3" max="3" width="15.109375" style="161" customWidth="1"/>
    <col min="4" max="4" width="13.5546875" style="161" bestFit="1" customWidth="1"/>
    <col min="5" max="5" width="14.109375" style="161" bestFit="1" customWidth="1"/>
    <col min="6" max="6" width="10.33203125" style="16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164">
        <f>N11+I17</f>
        <v>1.9073168</v>
      </c>
    </row>
    <row r="2" spans="1:14" x14ac:dyDescent="0.3">
      <c r="A2" s="342" t="s">
        <v>532</v>
      </c>
      <c r="B2" s="161" t="s">
        <v>780</v>
      </c>
      <c r="D2" s="342" t="s">
        <v>536</v>
      </c>
      <c r="M2" s="342" t="s">
        <v>533</v>
      </c>
      <c r="N2" s="165">
        <v>1</v>
      </c>
    </row>
    <row r="3" spans="1:14" x14ac:dyDescent="0.3">
      <c r="A3" s="342" t="s">
        <v>534</v>
      </c>
      <c r="B3" s="161" t="s">
        <v>1049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1" t="s">
        <v>1107</v>
      </c>
      <c r="D4" s="342" t="s">
        <v>541</v>
      </c>
      <c r="J4" s="342" t="s">
        <v>538</v>
      </c>
      <c r="M4" s="342" t="s">
        <v>539</v>
      </c>
      <c r="N4" s="164">
        <f>N1*N2</f>
        <v>1.9073168</v>
      </c>
    </row>
    <row r="5" spans="1:14" x14ac:dyDescent="0.3">
      <c r="A5" s="342" t="s">
        <v>537</v>
      </c>
      <c r="B5" s="166" t="s">
        <v>144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190" t="s">
        <v>799</v>
      </c>
      <c r="C10" s="168" t="s">
        <v>864</v>
      </c>
      <c r="D10" s="170">
        <v>4.2</v>
      </c>
      <c r="E10" s="168">
        <v>80</v>
      </c>
      <c r="F10" s="168" t="s">
        <v>573</v>
      </c>
      <c r="G10" s="168">
        <v>20</v>
      </c>
      <c r="H10" s="219" t="s">
        <v>573</v>
      </c>
      <c r="I10" s="269" t="s">
        <v>1106</v>
      </c>
      <c r="J10" s="227">
        <f>E10*G10/1000000</f>
        <v>1.6000000000000001E-3</v>
      </c>
      <c r="K10" s="227">
        <v>1.5E-3</v>
      </c>
      <c r="L10" s="219">
        <v>2710</v>
      </c>
      <c r="M10" s="221">
        <v>1</v>
      </c>
      <c r="N10" s="223">
        <f>IF(J10="",D10*M10,D10*J10*K10*L10*M10)</f>
        <v>2.7316799999999999E-2</v>
      </c>
    </row>
    <row r="11" spans="1:14" s="178" customFormat="1" x14ac:dyDescent="0.3">
      <c r="M11" s="338" t="s">
        <v>547</v>
      </c>
      <c r="N11" s="337">
        <f>SUM(N10:N10)</f>
        <v>2.7316799999999999E-2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x14ac:dyDescent="0.3">
      <c r="A14" s="168">
        <v>10</v>
      </c>
      <c r="B14" s="180" t="s">
        <v>853</v>
      </c>
      <c r="C14" s="171"/>
      <c r="D14" s="170">
        <v>0.03</v>
      </c>
      <c r="E14" s="168" t="s">
        <v>852</v>
      </c>
      <c r="F14" s="168">
        <v>16</v>
      </c>
      <c r="G14" s="168"/>
      <c r="H14" s="168"/>
      <c r="I14" s="170">
        <f>IF($H14&lt;&gt;"",$D14*$F14*$H14,$D14*$F14)</f>
        <v>0.48</v>
      </c>
    </row>
    <row r="15" spans="1:14" x14ac:dyDescent="0.3">
      <c r="A15" s="168">
        <v>20</v>
      </c>
      <c r="B15" s="315" t="s">
        <v>589</v>
      </c>
      <c r="C15" s="171"/>
      <c r="D15" s="170">
        <v>1.3</v>
      </c>
      <c r="E15" s="168" t="s">
        <v>556</v>
      </c>
      <c r="F15" s="168">
        <v>1</v>
      </c>
      <c r="G15" s="168"/>
      <c r="H15" s="168"/>
      <c r="I15" s="170">
        <f>IF($H15&lt;&gt;"",$D15*$F15*$H15,$D15*$F15)</f>
        <v>1.3</v>
      </c>
    </row>
    <row r="16" spans="1:14" ht="28.8" x14ac:dyDescent="0.3">
      <c r="A16" s="168">
        <v>30</v>
      </c>
      <c r="B16" s="180" t="s">
        <v>862</v>
      </c>
      <c r="C16" s="171"/>
      <c r="D16" s="170">
        <v>0.1</v>
      </c>
      <c r="E16" s="168" t="s">
        <v>593</v>
      </c>
      <c r="F16" s="168">
        <v>1</v>
      </c>
      <c r="G16" s="180" t="s">
        <v>723</v>
      </c>
      <c r="H16" s="179">
        <v>1</v>
      </c>
      <c r="I16" s="170">
        <f>IF($H16&lt;&gt;"",$D16*$F16*$H16,$D16*$F16)</f>
        <v>0.1</v>
      </c>
    </row>
    <row r="17" spans="8:9" s="178" customFormat="1" x14ac:dyDescent="0.3">
      <c r="H17" s="338" t="s">
        <v>547</v>
      </c>
      <c r="I17" s="337">
        <f>SUM(I14:I16)</f>
        <v>1.8800000000000001</v>
      </c>
    </row>
    <row r="36" ht="24" customHeight="1" x14ac:dyDescent="0.3"/>
  </sheetData>
  <pageMargins left="0.5" right="0.5" top="0.75" bottom="0.75" header="0.3" footer="0.3"/>
  <pageSetup paperSize="9" scale="65" orientation="landscape"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N28"/>
  <sheetViews>
    <sheetView showGridLines="0" workbookViewId="0"/>
  </sheetViews>
  <sheetFormatPr defaultColWidth="9.109375" defaultRowHeight="14.4" x14ac:dyDescent="0.3"/>
  <cols>
    <col min="1" max="1" width="10.5546875" style="161" bestFit="1" customWidth="1"/>
    <col min="2" max="2" width="25.5546875" style="161" customWidth="1"/>
    <col min="3" max="3" width="28.33203125" style="161" customWidth="1"/>
    <col min="4" max="4" width="11" style="161" bestFit="1" customWidth="1"/>
    <col min="5" max="5" width="10.33203125" style="161" bestFit="1" customWidth="1"/>
    <col min="6" max="6" width="9.6640625" style="161" customWidth="1"/>
    <col min="7" max="7" width="10.44140625" style="161" bestFit="1" customWidth="1"/>
    <col min="8" max="8" width="13.88671875" style="161" bestFit="1" customWidth="1"/>
    <col min="9" max="9" width="15.88671875" style="161" customWidth="1"/>
    <col min="10" max="10" width="11.33203125" style="161" customWidth="1"/>
    <col min="11" max="11" width="9.44140625" style="161" bestFit="1" customWidth="1"/>
    <col min="12" max="12" width="9.33203125" style="161" bestFit="1" customWidth="1"/>
    <col min="13" max="13" width="14.109375" style="161" customWidth="1"/>
    <col min="14" max="14" width="11.6640625" style="161" customWidth="1"/>
    <col min="15" max="16384" width="9.109375" style="161"/>
  </cols>
  <sheetData>
    <row r="1" spans="1:14" x14ac:dyDescent="0.3">
      <c r="A1" s="335" t="s">
        <v>523</v>
      </c>
      <c r="B1" s="161" t="s">
        <v>524</v>
      </c>
      <c r="J1" s="335" t="s">
        <v>528</v>
      </c>
      <c r="K1" s="163">
        <v>81</v>
      </c>
      <c r="M1" s="335" t="s">
        <v>531</v>
      </c>
      <c r="N1" s="336">
        <f>E11+I20+J24+I28</f>
        <v>102.57059049759999</v>
      </c>
    </row>
    <row r="2" spans="1:14" x14ac:dyDescent="0.3">
      <c r="A2" s="335" t="s">
        <v>532</v>
      </c>
      <c r="B2" s="161" t="s">
        <v>1108</v>
      </c>
      <c r="M2" s="335" t="s">
        <v>533</v>
      </c>
      <c r="N2" s="165">
        <v>1</v>
      </c>
    </row>
    <row r="3" spans="1:14" x14ac:dyDescent="0.3">
      <c r="A3" s="335" t="s">
        <v>534</v>
      </c>
      <c r="B3" s="161" t="s">
        <v>1109</v>
      </c>
      <c r="J3" s="335" t="s">
        <v>536</v>
      </c>
    </row>
    <row r="4" spans="1:14" x14ac:dyDescent="0.3">
      <c r="A4" s="335" t="s">
        <v>537</v>
      </c>
      <c r="B4" s="166" t="s">
        <v>145</v>
      </c>
      <c r="J4" s="335" t="s">
        <v>538</v>
      </c>
      <c r="M4" s="335" t="s">
        <v>539</v>
      </c>
      <c r="N4" s="336">
        <f>N1*N2</f>
        <v>102.57059049759999</v>
      </c>
    </row>
    <row r="5" spans="1:14" x14ac:dyDescent="0.3">
      <c r="A5" s="335" t="s">
        <v>540</v>
      </c>
      <c r="B5" s="161" t="s">
        <v>36</v>
      </c>
      <c r="J5" s="335" t="s">
        <v>541</v>
      </c>
    </row>
    <row r="6" spans="1:14" x14ac:dyDescent="0.3">
      <c r="A6" s="335" t="s">
        <v>542</v>
      </c>
    </row>
    <row r="8" spans="1:14" x14ac:dyDescent="0.3">
      <c r="A8" s="324" t="s">
        <v>544</v>
      </c>
      <c r="B8" s="324" t="s">
        <v>545</v>
      </c>
      <c r="C8" s="324" t="s">
        <v>546</v>
      </c>
      <c r="D8" s="324" t="s">
        <v>28</v>
      </c>
      <c r="E8" s="324" t="s">
        <v>547</v>
      </c>
    </row>
    <row r="9" spans="1:14" x14ac:dyDescent="0.3">
      <c r="A9" s="168">
        <v>10</v>
      </c>
      <c r="B9" s="168" t="s">
        <v>1109</v>
      </c>
      <c r="C9" s="323">
        <f>'EN 07001'!N1</f>
        <v>36.533628582133332</v>
      </c>
      <c r="D9" s="410">
        <v>2</v>
      </c>
      <c r="E9" s="322">
        <f>C9*D9</f>
        <v>73.067257164266664</v>
      </c>
    </row>
    <row r="10" spans="1:14" x14ac:dyDescent="0.3">
      <c r="A10" s="168">
        <v>20</v>
      </c>
      <c r="B10" s="168" t="s">
        <v>1110</v>
      </c>
      <c r="C10" s="323">
        <f>'EN 07002'!N1</f>
        <v>3.3</v>
      </c>
      <c r="D10" s="410">
        <v>2</v>
      </c>
      <c r="E10" s="322">
        <f>C10*D10</f>
        <v>6.6</v>
      </c>
    </row>
    <row r="11" spans="1:14" x14ac:dyDescent="0.3">
      <c r="D11" s="321" t="s">
        <v>547</v>
      </c>
      <c r="E11" s="320">
        <f>SUM(E9:E10)</f>
        <v>79.667257164266658</v>
      </c>
    </row>
    <row r="14" spans="1:14" s="178" customFormat="1" x14ac:dyDescent="0.3">
      <c r="A14" s="324" t="s">
        <v>544</v>
      </c>
      <c r="B14" s="324" t="s">
        <v>548</v>
      </c>
      <c r="C14" s="324" t="s">
        <v>549</v>
      </c>
      <c r="D14" s="324" t="s">
        <v>550</v>
      </c>
      <c r="E14" s="324" t="s">
        <v>551</v>
      </c>
      <c r="F14" s="324" t="s">
        <v>28</v>
      </c>
      <c r="G14" s="324" t="s">
        <v>552</v>
      </c>
      <c r="H14" s="324" t="s">
        <v>553</v>
      </c>
      <c r="I14" s="324" t="s">
        <v>547</v>
      </c>
    </row>
    <row r="15" spans="1:14" x14ac:dyDescent="0.3">
      <c r="A15" s="168">
        <v>10</v>
      </c>
      <c r="B15" s="171" t="s">
        <v>650</v>
      </c>
      <c r="C15" s="171" t="s">
        <v>1111</v>
      </c>
      <c r="D15" s="323">
        <v>0.15</v>
      </c>
      <c r="E15" s="168" t="s">
        <v>593</v>
      </c>
      <c r="F15" s="168">
        <v>90</v>
      </c>
      <c r="G15" s="168"/>
      <c r="H15" s="168">
        <v>1</v>
      </c>
      <c r="I15" s="323">
        <f>D15*F15*H15</f>
        <v>13.5</v>
      </c>
    </row>
    <row r="16" spans="1:14" ht="28.8" x14ac:dyDescent="0.3">
      <c r="A16" s="168">
        <v>20</v>
      </c>
      <c r="B16" s="180" t="s">
        <v>760</v>
      </c>
      <c r="C16" s="193" t="s">
        <v>1112</v>
      </c>
      <c r="D16" s="323">
        <v>0.19</v>
      </c>
      <c r="E16" s="168" t="s">
        <v>556</v>
      </c>
      <c r="F16" s="168">
        <v>4</v>
      </c>
      <c r="G16" s="168"/>
      <c r="H16" s="168">
        <v>1</v>
      </c>
      <c r="I16" s="323">
        <f>D16*F16*H16</f>
        <v>0.76</v>
      </c>
    </row>
    <row r="17" spans="1:10" ht="28.8" x14ac:dyDescent="0.3">
      <c r="A17" s="168">
        <v>30</v>
      </c>
      <c r="B17" s="180" t="s">
        <v>1113</v>
      </c>
      <c r="C17" s="184" t="s">
        <v>1114</v>
      </c>
      <c r="D17" s="323">
        <v>0.19</v>
      </c>
      <c r="E17" s="168" t="s">
        <v>551</v>
      </c>
      <c r="F17" s="168">
        <v>1</v>
      </c>
      <c r="G17" s="168"/>
      <c r="H17" s="168">
        <v>1</v>
      </c>
      <c r="I17" s="323">
        <f>D17*F17*H17</f>
        <v>0.19</v>
      </c>
    </row>
    <row r="18" spans="1:10" x14ac:dyDescent="0.3">
      <c r="A18" s="168">
        <v>40</v>
      </c>
      <c r="B18" s="180" t="s">
        <v>659</v>
      </c>
      <c r="C18" s="171" t="s">
        <v>1133</v>
      </c>
      <c r="D18" s="323">
        <v>0.5</v>
      </c>
      <c r="E18" s="168" t="s">
        <v>551</v>
      </c>
      <c r="F18" s="168">
        <v>4</v>
      </c>
      <c r="G18" s="168"/>
      <c r="H18" s="168">
        <v>1</v>
      </c>
      <c r="I18" s="323">
        <f>D18*F18*H18</f>
        <v>2</v>
      </c>
    </row>
    <row r="19" spans="1:10" x14ac:dyDescent="0.3">
      <c r="A19" s="168">
        <v>50</v>
      </c>
      <c r="B19" s="180" t="s">
        <v>660</v>
      </c>
      <c r="C19" s="171" t="s">
        <v>1133</v>
      </c>
      <c r="D19" s="323">
        <v>0.25</v>
      </c>
      <c r="E19" s="168" t="s">
        <v>551</v>
      </c>
      <c r="F19" s="168">
        <v>4</v>
      </c>
      <c r="G19" s="168"/>
      <c r="H19" s="168">
        <v>1</v>
      </c>
      <c r="I19" s="323">
        <f>D19*F19*H19</f>
        <v>1</v>
      </c>
    </row>
    <row r="20" spans="1:10" s="178" customFormat="1" x14ac:dyDescent="0.3">
      <c r="H20" s="321" t="s">
        <v>547</v>
      </c>
      <c r="I20" s="320">
        <f>SUM(I15:I19)</f>
        <v>17.45</v>
      </c>
    </row>
    <row r="22" spans="1:10" s="178" customFormat="1" x14ac:dyDescent="0.3">
      <c r="A22" s="324" t="s">
        <v>544</v>
      </c>
      <c r="B22" s="324" t="s">
        <v>566</v>
      </c>
      <c r="C22" s="324" t="s">
        <v>549</v>
      </c>
      <c r="D22" s="324" t="s">
        <v>550</v>
      </c>
      <c r="E22" s="324" t="s">
        <v>567</v>
      </c>
      <c r="F22" s="324" t="s">
        <v>568</v>
      </c>
      <c r="G22" s="324" t="s">
        <v>569</v>
      </c>
      <c r="H22" s="324" t="s">
        <v>570</v>
      </c>
      <c r="I22" s="324" t="s">
        <v>28</v>
      </c>
      <c r="J22" s="324" t="s">
        <v>547</v>
      </c>
    </row>
    <row r="23" spans="1:10" x14ac:dyDescent="0.3">
      <c r="A23" s="168">
        <v>10</v>
      </c>
      <c r="B23" s="356" t="s">
        <v>1014</v>
      </c>
      <c r="C23" s="168" t="s">
        <v>1115</v>
      </c>
      <c r="D23" s="323">
        <v>0.53</v>
      </c>
      <c r="E23" s="168">
        <v>8</v>
      </c>
      <c r="F23" s="245" t="s">
        <v>573</v>
      </c>
      <c r="G23" s="168"/>
      <c r="H23" s="171"/>
      <c r="I23" s="327">
        <v>4</v>
      </c>
      <c r="J23" s="323">
        <f>I23*D23</f>
        <v>2.12</v>
      </c>
    </row>
    <row r="24" spans="1:10" x14ac:dyDescent="0.3">
      <c r="I24" s="321" t="s">
        <v>547</v>
      </c>
      <c r="J24" s="320">
        <f>SUM(J19:J23)</f>
        <v>2.12</v>
      </c>
    </row>
    <row r="26" spans="1:10" x14ac:dyDescent="0.3">
      <c r="A26" s="324" t="s">
        <v>544</v>
      </c>
      <c r="B26" s="324" t="s">
        <v>6</v>
      </c>
      <c r="C26" s="324" t="s">
        <v>549</v>
      </c>
      <c r="D26" s="324" t="s">
        <v>550</v>
      </c>
      <c r="E26" s="324" t="s">
        <v>551</v>
      </c>
      <c r="F26" s="324" t="s">
        <v>28</v>
      </c>
      <c r="G26" s="324" t="s">
        <v>691</v>
      </c>
      <c r="H26" s="324" t="s">
        <v>692</v>
      </c>
      <c r="I26" s="324" t="s">
        <v>547</v>
      </c>
    </row>
    <row r="27" spans="1:10" x14ac:dyDescent="0.3">
      <c r="A27" s="168">
        <v>10</v>
      </c>
      <c r="B27" s="267" t="s">
        <v>693</v>
      </c>
      <c r="C27" s="171" t="s">
        <v>1111</v>
      </c>
      <c r="D27" s="323">
        <v>500</v>
      </c>
      <c r="E27" s="168" t="s">
        <v>695</v>
      </c>
      <c r="F27" s="168">
        <v>20</v>
      </c>
      <c r="G27" s="168">
        <v>3000</v>
      </c>
      <c r="H27" s="168">
        <v>1</v>
      </c>
      <c r="I27" s="323">
        <f>D27*F27/G27</f>
        <v>3.3333333333333335</v>
      </c>
    </row>
    <row r="28" spans="1:10" x14ac:dyDescent="0.3">
      <c r="A28" s="178"/>
      <c r="B28" s="178"/>
      <c r="C28" s="178"/>
      <c r="D28" s="178"/>
      <c r="E28" s="178"/>
      <c r="F28" s="178"/>
      <c r="G28" s="178"/>
      <c r="H28" s="321" t="s">
        <v>547</v>
      </c>
      <c r="I28" s="320">
        <f>SUM(I27:I27)</f>
        <v>3.3333333333333335</v>
      </c>
    </row>
  </sheetData>
  <pageMargins left="0.5" right="0.5" top="0.75" bottom="0.75" header="0.3" footer="0.3"/>
  <pageSetup paperSize="9" scale="70" fitToHeight="0" orientation="landscape"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9"/>
  <sheetViews>
    <sheetView showGridLines="0" workbookViewId="0"/>
  </sheetViews>
  <sheetFormatPr defaultColWidth="9.109375" defaultRowHeight="14.4" x14ac:dyDescent="0.3"/>
  <cols>
    <col min="1" max="1" width="14.6640625" style="161" customWidth="1"/>
    <col min="2" max="2" width="18.33203125" style="161" customWidth="1"/>
    <col min="3" max="3" width="20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20" style="161" customWidth="1"/>
    <col min="8" max="8" width="14.33203125" style="161" customWidth="1"/>
    <col min="9" max="9" width="18.109375" style="16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7.33203125" style="16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N14+I24+I28</f>
        <v>36.533628582133332</v>
      </c>
    </row>
    <row r="2" spans="1:14" x14ac:dyDescent="0.3">
      <c r="A2" s="342" t="s">
        <v>532</v>
      </c>
      <c r="B2" s="161" t="s">
        <v>1108</v>
      </c>
      <c r="D2" s="342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1109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1116</v>
      </c>
      <c r="D4" s="342" t="s">
        <v>541</v>
      </c>
      <c r="J4" s="342" t="s">
        <v>538</v>
      </c>
      <c r="M4" s="342" t="s">
        <v>539</v>
      </c>
      <c r="N4" s="336">
        <f>N1*N2</f>
        <v>73.067257164266664</v>
      </c>
    </row>
    <row r="5" spans="1:14" x14ac:dyDescent="0.3">
      <c r="A5" s="342" t="s">
        <v>537</v>
      </c>
      <c r="B5" s="166" t="s">
        <v>147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  <c r="B7" s="161" t="s">
        <v>1117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ht="28.8" x14ac:dyDescent="0.3">
      <c r="A10" s="168">
        <v>10</v>
      </c>
      <c r="B10" s="225" t="s">
        <v>1032</v>
      </c>
      <c r="C10" s="168" t="s">
        <v>1118</v>
      </c>
      <c r="D10" s="323">
        <v>4.2</v>
      </c>
      <c r="E10" s="316">
        <f>J10*K10*L10</f>
        <v>0.22764000000000004</v>
      </c>
      <c r="F10" s="168" t="s">
        <v>856</v>
      </c>
      <c r="G10" s="168"/>
      <c r="H10" s="219"/>
      <c r="I10" s="269" t="s">
        <v>1119</v>
      </c>
      <c r="J10" s="380">
        <f>280*150/1000000</f>
        <v>4.2000000000000003E-2</v>
      </c>
      <c r="K10" s="228">
        <v>2E-3</v>
      </c>
      <c r="L10" s="219">
        <v>2710</v>
      </c>
      <c r="M10" s="222">
        <v>2</v>
      </c>
      <c r="N10" s="322">
        <f>IF(J10="",D10*M10,D10*J10*K10*L10*M10)</f>
        <v>1.9121760000000003</v>
      </c>
    </row>
    <row r="11" spans="1:14" ht="28.8" x14ac:dyDescent="0.3">
      <c r="A11" s="168">
        <v>20</v>
      </c>
      <c r="B11" s="256" t="s">
        <v>1032</v>
      </c>
      <c r="C11" s="168" t="s">
        <v>1120</v>
      </c>
      <c r="D11" s="323">
        <v>4.2</v>
      </c>
      <c r="E11" s="316">
        <f>J11*K11*L11</f>
        <v>6.8291999999999992E-2</v>
      </c>
      <c r="F11" s="168" t="s">
        <v>856</v>
      </c>
      <c r="G11" s="168"/>
      <c r="H11" s="219"/>
      <c r="I11" s="269" t="s">
        <v>1121</v>
      </c>
      <c r="J11" s="228">
        <f>280*45/1000000</f>
        <v>1.26E-2</v>
      </c>
      <c r="K11" s="228">
        <v>2E-3</v>
      </c>
      <c r="L11" s="219">
        <v>2710</v>
      </c>
      <c r="M11" s="222">
        <v>2</v>
      </c>
      <c r="N11" s="322">
        <f>IF(J11="",D11*M11,D11*J11*K11*L11*M11)</f>
        <v>0.57365279999999996</v>
      </c>
    </row>
    <row r="12" spans="1:14" ht="28.8" x14ac:dyDescent="0.3">
      <c r="A12" s="168">
        <v>30</v>
      </c>
      <c r="B12" s="184" t="s">
        <v>1032</v>
      </c>
      <c r="C12" s="168" t="s">
        <v>1122</v>
      </c>
      <c r="D12" s="323">
        <v>4.2</v>
      </c>
      <c r="E12" s="316">
        <f>J12*K12*L12</f>
        <v>3.6584999999999999E-2</v>
      </c>
      <c r="F12" s="168" t="s">
        <v>856</v>
      </c>
      <c r="G12" s="168"/>
      <c r="H12" s="219"/>
      <c r="I12" s="419" t="s">
        <v>1123</v>
      </c>
      <c r="J12" s="228">
        <f>150*45/1000000</f>
        <v>6.7499999999999999E-3</v>
      </c>
      <c r="K12" s="228">
        <v>2E-3</v>
      </c>
      <c r="L12" s="219">
        <v>2710</v>
      </c>
      <c r="M12" s="222">
        <v>2</v>
      </c>
      <c r="N12" s="322">
        <f>IF(J12="",D12*M12,D12*J12*K12*L12*M12)</f>
        <v>0.30731400000000003</v>
      </c>
    </row>
    <row r="13" spans="1:14" ht="28.8" x14ac:dyDescent="0.3">
      <c r="A13" s="168">
        <v>40</v>
      </c>
      <c r="B13" s="184" t="s">
        <v>1032</v>
      </c>
      <c r="C13" s="168" t="s">
        <v>1124</v>
      </c>
      <c r="D13" s="323">
        <v>4.2</v>
      </c>
      <c r="E13" s="420">
        <f>J13*K13*L13</f>
        <v>8.5148199999999998E-4</v>
      </c>
      <c r="F13" s="168" t="s">
        <v>856</v>
      </c>
      <c r="G13" s="168"/>
      <c r="H13" s="219"/>
      <c r="I13" s="419" t="s">
        <v>1125</v>
      </c>
      <c r="J13" s="227">
        <f>15.71/1000000</f>
        <v>1.571E-5</v>
      </c>
      <c r="K13" s="219">
        <v>0.02</v>
      </c>
      <c r="L13" s="219">
        <v>2710</v>
      </c>
      <c r="M13" s="222">
        <v>2</v>
      </c>
      <c r="N13" s="322">
        <f>IF(J13="",D13*M13,D13*J13*K13*L13*M13)</f>
        <v>7.1524488000000008E-3</v>
      </c>
    </row>
    <row r="14" spans="1:14" s="178" customFormat="1" x14ac:dyDescent="0.3">
      <c r="M14" s="338" t="s">
        <v>547</v>
      </c>
      <c r="N14" s="337">
        <f>SUM(N10:N13)</f>
        <v>2.8002952487999999</v>
      </c>
    </row>
    <row r="16" spans="1:14" s="178" customFormat="1" x14ac:dyDescent="0.3">
      <c r="A16" s="341" t="s">
        <v>544</v>
      </c>
      <c r="B16" s="341" t="s">
        <v>548</v>
      </c>
      <c r="C16" s="341" t="s">
        <v>549</v>
      </c>
      <c r="D16" s="341" t="s">
        <v>550</v>
      </c>
      <c r="E16" s="341" t="s">
        <v>551</v>
      </c>
      <c r="F16" s="341" t="s">
        <v>28</v>
      </c>
      <c r="G16" s="341" t="s">
        <v>552</v>
      </c>
      <c r="H16" s="341" t="s">
        <v>553</v>
      </c>
      <c r="I16" s="341" t="s">
        <v>547</v>
      </c>
    </row>
    <row r="17" spans="1:9" ht="28.8" x14ac:dyDescent="0.3">
      <c r="A17" s="168">
        <v>10</v>
      </c>
      <c r="B17" s="348" t="s">
        <v>589</v>
      </c>
      <c r="C17" s="184" t="s">
        <v>1126</v>
      </c>
      <c r="D17" s="323">
        <v>1.3</v>
      </c>
      <c r="E17" s="168" t="s">
        <v>551</v>
      </c>
      <c r="F17" s="421">
        <v>1</v>
      </c>
      <c r="G17" s="168"/>
      <c r="H17" s="168"/>
      <c r="I17" s="322">
        <f>IF($H17&lt;&gt;"",$D17*$F17*$H17,$D17*$F17)</f>
        <v>1.3</v>
      </c>
    </row>
    <row r="18" spans="1:9" ht="28.8" x14ac:dyDescent="0.3">
      <c r="A18" s="168">
        <v>20</v>
      </c>
      <c r="B18" s="180" t="s">
        <v>591</v>
      </c>
      <c r="C18" s="184" t="s">
        <v>1126</v>
      </c>
      <c r="D18" s="323">
        <v>0.01</v>
      </c>
      <c r="E18" s="168" t="s">
        <v>593</v>
      </c>
      <c r="F18" s="168">
        <v>86</v>
      </c>
      <c r="G18" s="168" t="s">
        <v>1782</v>
      </c>
      <c r="H18" s="168">
        <v>1</v>
      </c>
      <c r="I18" s="322">
        <f t="shared" ref="I18:I23" si="0">IF($H18&lt;&gt;"",$D18*$F18*$H18,$D18*$F18)</f>
        <v>0.86</v>
      </c>
    </row>
    <row r="19" spans="1:9" ht="28.8" x14ac:dyDescent="0.3">
      <c r="A19" s="168">
        <v>30</v>
      </c>
      <c r="B19" s="348" t="s">
        <v>589</v>
      </c>
      <c r="C19" s="184" t="s">
        <v>1127</v>
      </c>
      <c r="D19" s="323">
        <v>1.3</v>
      </c>
      <c r="E19" s="168" t="s">
        <v>551</v>
      </c>
      <c r="F19" s="168">
        <v>1</v>
      </c>
      <c r="G19" s="168"/>
      <c r="H19" s="168"/>
      <c r="I19" s="322">
        <f t="shared" si="0"/>
        <v>1.3</v>
      </c>
    </row>
    <row r="20" spans="1:9" x14ac:dyDescent="0.3">
      <c r="A20" s="168">
        <v>40</v>
      </c>
      <c r="B20" s="180" t="s">
        <v>591</v>
      </c>
      <c r="C20" s="184" t="s">
        <v>1128</v>
      </c>
      <c r="D20" s="323">
        <v>0.01</v>
      </c>
      <c r="E20" s="168" t="s">
        <v>593</v>
      </c>
      <c r="F20" s="168">
        <v>65</v>
      </c>
      <c r="G20" s="168" t="s">
        <v>1782</v>
      </c>
      <c r="H20" s="168">
        <v>1</v>
      </c>
      <c r="I20" s="322">
        <f t="shared" si="0"/>
        <v>0.65</v>
      </c>
    </row>
    <row r="21" spans="1:9" ht="28.8" x14ac:dyDescent="0.3">
      <c r="A21" s="168">
        <v>50</v>
      </c>
      <c r="B21" s="348" t="s">
        <v>589</v>
      </c>
      <c r="C21" s="184" t="s">
        <v>1129</v>
      </c>
      <c r="D21" s="323">
        <v>1.3</v>
      </c>
      <c r="E21" s="168" t="s">
        <v>551</v>
      </c>
      <c r="F21" s="168">
        <v>1</v>
      </c>
      <c r="G21" s="168"/>
      <c r="H21" s="168"/>
      <c r="I21" s="322">
        <f t="shared" si="0"/>
        <v>1.3</v>
      </c>
    </row>
    <row r="22" spans="1:9" ht="28.8" x14ac:dyDescent="0.3">
      <c r="A22" s="168">
        <v>60</v>
      </c>
      <c r="B22" s="180" t="s">
        <v>591</v>
      </c>
      <c r="C22" s="184" t="s">
        <v>1129</v>
      </c>
      <c r="D22" s="323">
        <v>0.01</v>
      </c>
      <c r="E22" s="168" t="s">
        <v>593</v>
      </c>
      <c r="F22" s="168">
        <v>39</v>
      </c>
      <c r="G22" s="168" t="s">
        <v>1782</v>
      </c>
      <c r="H22" s="168">
        <v>1</v>
      </c>
      <c r="I22" s="322">
        <f t="shared" si="0"/>
        <v>0.39</v>
      </c>
    </row>
    <row r="23" spans="1:9" ht="28.8" x14ac:dyDescent="0.3">
      <c r="A23" s="168">
        <v>70</v>
      </c>
      <c r="B23" s="180" t="s">
        <v>650</v>
      </c>
      <c r="C23" s="193" t="s">
        <v>1130</v>
      </c>
      <c r="D23" s="323">
        <v>0.15</v>
      </c>
      <c r="E23" s="168" t="s">
        <v>593</v>
      </c>
      <c r="F23" s="168">
        <v>164</v>
      </c>
      <c r="G23" s="168"/>
      <c r="H23" s="168"/>
      <c r="I23" s="322">
        <f t="shared" si="0"/>
        <v>24.599999999999998</v>
      </c>
    </row>
    <row r="24" spans="1:9" s="178" customFormat="1" x14ac:dyDescent="0.3">
      <c r="H24" s="338" t="s">
        <v>547</v>
      </c>
      <c r="I24" s="337">
        <f>SUM(I17:I23)</f>
        <v>30.4</v>
      </c>
    </row>
    <row r="25" spans="1:9" x14ac:dyDescent="0.3">
      <c r="H25" s="326"/>
      <c r="I25" s="325"/>
    </row>
    <row r="26" spans="1:9" s="178" customFormat="1" x14ac:dyDescent="0.3">
      <c r="A26" s="341" t="s">
        <v>544</v>
      </c>
      <c r="B26" s="341" t="s">
        <v>6</v>
      </c>
      <c r="C26" s="341" t="s">
        <v>549</v>
      </c>
      <c r="D26" s="341" t="s">
        <v>550</v>
      </c>
      <c r="E26" s="341" t="s">
        <v>551</v>
      </c>
      <c r="F26" s="341" t="s">
        <v>28</v>
      </c>
      <c r="G26" s="341" t="s">
        <v>691</v>
      </c>
      <c r="H26" s="341" t="s">
        <v>692</v>
      </c>
      <c r="I26" s="341" t="s">
        <v>547</v>
      </c>
    </row>
    <row r="27" spans="1:9" ht="28.8" x14ac:dyDescent="0.3">
      <c r="A27" s="168">
        <v>10</v>
      </c>
      <c r="B27" s="267" t="s">
        <v>693</v>
      </c>
      <c r="C27" s="168"/>
      <c r="D27" s="323">
        <v>500</v>
      </c>
      <c r="E27" s="168" t="s">
        <v>695</v>
      </c>
      <c r="F27" s="168">
        <v>20</v>
      </c>
      <c r="G27" s="168">
        <v>3000</v>
      </c>
      <c r="H27" s="168">
        <v>1</v>
      </c>
      <c r="I27" s="323">
        <f>D27*F27/G27</f>
        <v>3.3333333333333335</v>
      </c>
    </row>
    <row r="28" spans="1:9" s="178" customFormat="1" x14ac:dyDescent="0.3">
      <c r="H28" s="338" t="s">
        <v>547</v>
      </c>
      <c r="I28" s="337">
        <f>SUM(I27:I27)</f>
        <v>3.3333333333333335</v>
      </c>
    </row>
    <row r="29" spans="1:9" x14ac:dyDescent="0.3">
      <c r="H29" s="326"/>
      <c r="I29" s="325"/>
    </row>
  </sheetData>
  <pageMargins left="0.5" right="0.5" top="0.75" bottom="0.75" header="0.3" footer="0.3"/>
  <pageSetup paperSize="9" scale="66" fitToHeight="0" orientation="landscape"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5"/>
  <sheetViews>
    <sheetView showGridLines="0" workbookViewId="0"/>
  </sheetViews>
  <sheetFormatPr defaultColWidth="9.109375" defaultRowHeight="14.4" x14ac:dyDescent="0.3"/>
  <cols>
    <col min="1" max="1" width="15" style="161" bestFit="1" customWidth="1"/>
    <col min="2" max="2" width="14.44140625" style="161" customWidth="1"/>
    <col min="3" max="3" width="23" style="161" customWidth="1"/>
    <col min="4" max="4" width="13.5546875" style="161" bestFit="1" customWidth="1"/>
    <col min="5" max="5" width="14.109375" style="161" bestFit="1" customWidth="1"/>
    <col min="6" max="6" width="12" style="161" bestFit="1" customWidth="1"/>
    <col min="7" max="7" width="10.109375" style="161" bestFit="1" customWidth="1"/>
    <col min="8" max="8" width="13.88671875" style="161" bestFit="1" customWidth="1"/>
    <col min="9" max="9" width="15.5546875" style="161" bestFit="1" customWidth="1"/>
    <col min="10" max="10" width="13.88671875" style="161" bestFit="1" customWidth="1"/>
    <col min="11" max="11" width="10.44140625" style="161" bestFit="1" customWidth="1"/>
    <col min="12" max="12" width="11.33203125" style="161" bestFit="1" customWidth="1"/>
    <col min="13" max="13" width="13.88671875" style="161" bestFit="1" customWidth="1"/>
    <col min="14" max="14" width="15" style="161" bestFit="1" customWidth="1"/>
    <col min="15" max="15" width="9.109375" style="161"/>
    <col min="16" max="16" width="9.44140625" style="161" bestFit="1" customWidth="1"/>
    <col min="17" max="18" width="9.109375" style="161"/>
    <col min="19" max="19" width="10.44140625" style="161" bestFit="1" customWidth="1"/>
    <col min="20" max="20" width="9.44140625" style="161" bestFit="1" customWidth="1"/>
    <col min="21" max="21" width="9.109375" style="161"/>
    <col min="22" max="22" width="9.44140625" style="161" bestFit="1" customWidth="1"/>
    <col min="23" max="23" width="9.109375" style="161"/>
    <col min="24" max="25" width="10.109375" style="161" bestFit="1" customWidth="1"/>
    <col min="26" max="28" width="9.33203125" style="161" bestFit="1" customWidth="1"/>
    <col min="29" max="16384" width="9.109375" style="161"/>
  </cols>
  <sheetData>
    <row r="1" spans="1:14" x14ac:dyDescent="0.3">
      <c r="A1" s="342" t="s">
        <v>523</v>
      </c>
      <c r="B1" s="161" t="s">
        <v>524</v>
      </c>
      <c r="J1" s="343" t="s">
        <v>528</v>
      </c>
      <c r="K1" s="163">
        <v>81</v>
      </c>
      <c r="M1" s="342" t="s">
        <v>546</v>
      </c>
      <c r="N1" s="336">
        <f>N11+I15</f>
        <v>3.3</v>
      </c>
    </row>
    <row r="2" spans="1:14" x14ac:dyDescent="0.3">
      <c r="A2" s="342" t="s">
        <v>532</v>
      </c>
      <c r="B2" s="161" t="s">
        <v>1108</v>
      </c>
      <c r="D2" s="342" t="s">
        <v>536</v>
      </c>
      <c r="M2" s="342" t="s">
        <v>533</v>
      </c>
      <c r="N2" s="165">
        <v>2</v>
      </c>
    </row>
    <row r="3" spans="1:14" x14ac:dyDescent="0.3">
      <c r="A3" s="342" t="s">
        <v>534</v>
      </c>
      <c r="B3" s="161" t="s">
        <v>1109</v>
      </c>
      <c r="D3" s="342" t="s">
        <v>538</v>
      </c>
      <c r="J3" s="342" t="s">
        <v>536</v>
      </c>
    </row>
    <row r="4" spans="1:14" x14ac:dyDescent="0.3">
      <c r="A4" s="342" t="s">
        <v>545</v>
      </c>
      <c r="B4" s="166" t="s">
        <v>1110</v>
      </c>
      <c r="D4" s="342" t="s">
        <v>541</v>
      </c>
      <c r="J4" s="342" t="s">
        <v>538</v>
      </c>
      <c r="M4" s="342" t="s">
        <v>539</v>
      </c>
      <c r="N4" s="336">
        <f>N1*N2</f>
        <v>6.6</v>
      </c>
    </row>
    <row r="5" spans="1:14" x14ac:dyDescent="0.3">
      <c r="A5" s="342" t="s">
        <v>537</v>
      </c>
      <c r="B5" s="166" t="s">
        <v>148</v>
      </c>
      <c r="J5" s="342" t="s">
        <v>541</v>
      </c>
    </row>
    <row r="6" spans="1:14" x14ac:dyDescent="0.3">
      <c r="A6" s="342" t="s">
        <v>540</v>
      </c>
      <c r="B6" s="161" t="s">
        <v>36</v>
      </c>
    </row>
    <row r="7" spans="1:14" x14ac:dyDescent="0.3">
      <c r="A7" s="342" t="s">
        <v>542</v>
      </c>
    </row>
    <row r="9" spans="1:14" s="178" customFormat="1" x14ac:dyDescent="0.3">
      <c r="A9" s="341" t="s">
        <v>544</v>
      </c>
      <c r="B9" s="341" t="s">
        <v>581</v>
      </c>
      <c r="C9" s="341" t="s">
        <v>549</v>
      </c>
      <c r="D9" s="341" t="s">
        <v>550</v>
      </c>
      <c r="E9" s="341" t="s">
        <v>567</v>
      </c>
      <c r="F9" s="341" t="s">
        <v>568</v>
      </c>
      <c r="G9" s="341" t="s">
        <v>569</v>
      </c>
      <c r="H9" s="341" t="s">
        <v>570</v>
      </c>
      <c r="I9" s="341" t="s">
        <v>582</v>
      </c>
      <c r="J9" s="341" t="s">
        <v>583</v>
      </c>
      <c r="K9" s="341" t="s">
        <v>584</v>
      </c>
      <c r="L9" s="341" t="s">
        <v>585</v>
      </c>
      <c r="M9" s="341" t="s">
        <v>28</v>
      </c>
      <c r="N9" s="341" t="s">
        <v>547</v>
      </c>
    </row>
    <row r="10" spans="1:14" x14ac:dyDescent="0.3">
      <c r="A10" s="168">
        <v>10</v>
      </c>
      <c r="B10" s="225" t="s">
        <v>870</v>
      </c>
      <c r="C10" s="168" t="s">
        <v>1109</v>
      </c>
      <c r="D10" s="323">
        <v>2.82</v>
      </c>
      <c r="E10" s="168">
        <v>6</v>
      </c>
      <c r="F10" s="168" t="s">
        <v>573</v>
      </c>
      <c r="G10" s="168">
        <v>1</v>
      </c>
      <c r="H10" s="219" t="s">
        <v>644</v>
      </c>
      <c r="I10" s="220"/>
      <c r="J10" s="221"/>
      <c r="K10" s="219"/>
      <c r="L10" s="219"/>
      <c r="M10" s="417">
        <v>1</v>
      </c>
      <c r="N10" s="322">
        <f>IF(J10="",D10*M10,D10*J10*K10*L10*M10)</f>
        <v>2.82</v>
      </c>
    </row>
    <row r="11" spans="1:14" s="178" customFormat="1" x14ac:dyDescent="0.3">
      <c r="M11" s="338" t="s">
        <v>547</v>
      </c>
      <c r="N11" s="337">
        <f>SUM(N10:N10)</f>
        <v>2.82</v>
      </c>
    </row>
    <row r="13" spans="1:14" s="178" customFormat="1" x14ac:dyDescent="0.3">
      <c r="A13" s="341" t="s">
        <v>544</v>
      </c>
      <c r="B13" s="341" t="s">
        <v>548</v>
      </c>
      <c r="C13" s="341" t="s">
        <v>549</v>
      </c>
      <c r="D13" s="341" t="s">
        <v>550</v>
      </c>
      <c r="E13" s="341" t="s">
        <v>551</v>
      </c>
      <c r="F13" s="341" t="s">
        <v>28</v>
      </c>
      <c r="G13" s="341" t="s">
        <v>552</v>
      </c>
      <c r="H13" s="341" t="s">
        <v>553</v>
      </c>
      <c r="I13" s="341" t="s">
        <v>547</v>
      </c>
    </row>
    <row r="14" spans="1:14" ht="28.8" x14ac:dyDescent="0.3">
      <c r="A14" s="168">
        <v>10</v>
      </c>
      <c r="B14" s="180" t="s">
        <v>1131</v>
      </c>
      <c r="C14" s="171" t="s">
        <v>1132</v>
      </c>
      <c r="D14" s="323">
        <v>0.06</v>
      </c>
      <c r="E14" s="168" t="s">
        <v>593</v>
      </c>
      <c r="F14" s="168">
        <v>8</v>
      </c>
      <c r="G14" s="168"/>
      <c r="H14" s="168"/>
      <c r="I14" s="323">
        <f>F14*D14</f>
        <v>0.48</v>
      </c>
    </row>
    <row r="15" spans="1:14" s="178" customFormat="1" x14ac:dyDescent="0.3">
      <c r="H15" s="338" t="s">
        <v>547</v>
      </c>
      <c r="I15" s="337">
        <f>SUM(I14:I14)</f>
        <v>0.48</v>
      </c>
    </row>
  </sheetData>
  <pageMargins left="0.7" right="0.7" top="0.75" bottom="0.75" header="0.3" footer="0.3"/>
  <pageSetup paperSize="9" scale="66" fitToHeight="0" orientation="landscape"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N52"/>
  <sheetViews>
    <sheetView showGridLines="0" workbookViewId="0"/>
  </sheetViews>
  <sheetFormatPr defaultColWidth="9.109375" defaultRowHeight="14.4" x14ac:dyDescent="0.3"/>
  <cols>
    <col min="1" max="1" width="14.33203125" style="311" customWidth="1"/>
    <col min="2" max="2" width="29.5546875" style="311" customWidth="1"/>
    <col min="3" max="3" width="34.6640625" style="311" customWidth="1"/>
    <col min="4" max="4" width="14.88671875" style="311" customWidth="1"/>
    <col min="5" max="5" width="14.44140625" style="311" customWidth="1"/>
    <col min="6" max="6" width="11.88671875" style="311" customWidth="1"/>
    <col min="7" max="7" width="18.33203125" style="311" customWidth="1"/>
    <col min="8" max="8" width="19.33203125" style="311" customWidth="1"/>
    <col min="9" max="9" width="15.109375" style="311" customWidth="1"/>
    <col min="10" max="10" width="13.109375" style="311" customWidth="1"/>
    <col min="11" max="11" width="9.44140625" style="311" bestFit="1" customWidth="1"/>
    <col min="12" max="12" width="14.88671875" style="311" customWidth="1"/>
    <col min="13" max="13" width="16.44140625" style="311" customWidth="1"/>
    <col min="14" max="14" width="11.6640625" style="311" customWidth="1"/>
    <col min="15" max="16384" width="9.109375" style="311"/>
  </cols>
  <sheetData>
    <row r="1" spans="1:14" x14ac:dyDescent="0.3">
      <c r="A1" s="422" t="s">
        <v>523</v>
      </c>
      <c r="B1" s="311" t="s">
        <v>524</v>
      </c>
      <c r="J1" s="422" t="s">
        <v>528</v>
      </c>
      <c r="K1" s="423">
        <v>81</v>
      </c>
      <c r="M1" s="422" t="s">
        <v>531</v>
      </c>
      <c r="N1" s="424">
        <f>E17+N22+I39+J48+I52</f>
        <v>166.07489969833333</v>
      </c>
    </row>
    <row r="2" spans="1:14" x14ac:dyDescent="0.3">
      <c r="A2" s="422" t="s">
        <v>532</v>
      </c>
      <c r="B2" s="311" t="s">
        <v>780</v>
      </c>
      <c r="M2" s="422" t="s">
        <v>533</v>
      </c>
      <c r="N2" s="425">
        <v>1</v>
      </c>
    </row>
    <row r="3" spans="1:14" x14ac:dyDescent="0.3">
      <c r="A3" s="422" t="s">
        <v>534</v>
      </c>
      <c r="B3" s="311" t="s">
        <v>1134</v>
      </c>
      <c r="J3" s="422" t="s">
        <v>536</v>
      </c>
    </row>
    <row r="4" spans="1:14" x14ac:dyDescent="0.3">
      <c r="A4" s="422" t="s">
        <v>537</v>
      </c>
      <c r="B4" s="166" t="s">
        <v>149</v>
      </c>
      <c r="J4" s="422" t="s">
        <v>538</v>
      </c>
      <c r="M4" s="422" t="s">
        <v>539</v>
      </c>
      <c r="N4" s="424">
        <f>N1*N2</f>
        <v>166.07489969833333</v>
      </c>
    </row>
    <row r="5" spans="1:14" x14ac:dyDescent="0.3">
      <c r="A5" s="422" t="s">
        <v>540</v>
      </c>
      <c r="B5" s="311" t="s">
        <v>36</v>
      </c>
      <c r="J5" s="422" t="s">
        <v>541</v>
      </c>
    </row>
    <row r="6" spans="1:14" x14ac:dyDescent="0.3">
      <c r="A6" s="422" t="s">
        <v>542</v>
      </c>
      <c r="B6" s="311" t="s">
        <v>1135</v>
      </c>
    </row>
    <row r="8" spans="1:14" x14ac:dyDescent="0.3">
      <c r="A8" s="426" t="s">
        <v>544</v>
      </c>
      <c r="B8" s="426" t="s">
        <v>545</v>
      </c>
      <c r="C8" s="426" t="s">
        <v>546</v>
      </c>
      <c r="D8" s="426" t="s">
        <v>28</v>
      </c>
      <c r="E8" s="426" t="s">
        <v>547</v>
      </c>
    </row>
    <row r="9" spans="1:14" x14ac:dyDescent="0.3">
      <c r="A9" s="183">
        <v>10</v>
      </c>
      <c r="B9" s="183" t="s">
        <v>1136</v>
      </c>
      <c r="C9" s="241">
        <f>'EN 08001'!N4</f>
        <v>50.372800000000005</v>
      </c>
      <c r="D9" s="410">
        <v>1</v>
      </c>
      <c r="E9" s="385">
        <f>C9*D9</f>
        <v>50.372800000000005</v>
      </c>
    </row>
    <row r="10" spans="1:14" x14ac:dyDescent="0.3">
      <c r="A10" s="183">
        <v>20</v>
      </c>
      <c r="B10" s="183" t="s">
        <v>153</v>
      </c>
      <c r="C10" s="241">
        <f>'EN 08002'!N1</f>
        <v>28.191943200000001</v>
      </c>
      <c r="D10" s="410">
        <v>1</v>
      </c>
      <c r="E10" s="385">
        <f t="shared" ref="E10:E16" si="0">C10*D10</f>
        <v>28.191943200000001</v>
      </c>
      <c r="G10" s="428"/>
    </row>
    <row r="11" spans="1:14" x14ac:dyDescent="0.3">
      <c r="A11" s="183">
        <v>30</v>
      </c>
      <c r="B11" s="183" t="s">
        <v>155</v>
      </c>
      <c r="C11" s="241">
        <f>'EN 08003'!N4</f>
        <v>34.351056</v>
      </c>
      <c r="D11" s="410">
        <v>1</v>
      </c>
      <c r="E11" s="385">
        <f t="shared" si="0"/>
        <v>34.351056</v>
      </c>
    </row>
    <row r="12" spans="1:14" x14ac:dyDescent="0.3">
      <c r="A12" s="183">
        <v>40</v>
      </c>
      <c r="B12" s="311" t="s">
        <v>1137</v>
      </c>
      <c r="C12" s="241">
        <f>'EN 08004'!N4</f>
        <v>22.148124633333332</v>
      </c>
      <c r="D12" s="410">
        <v>1</v>
      </c>
      <c r="E12" s="385">
        <f t="shared" si="0"/>
        <v>22.148124633333332</v>
      </c>
    </row>
    <row r="13" spans="1:14" x14ac:dyDescent="0.3">
      <c r="A13" s="183">
        <v>60</v>
      </c>
      <c r="B13" s="183" t="s">
        <v>1138</v>
      </c>
      <c r="C13" s="241">
        <f>'EN 08005'!N4</f>
        <v>1.8929199699999999</v>
      </c>
      <c r="D13" s="410">
        <v>1</v>
      </c>
      <c r="E13" s="385">
        <f t="shared" si="0"/>
        <v>1.8929199699999999</v>
      </c>
    </row>
    <row r="14" spans="1:14" x14ac:dyDescent="0.3">
      <c r="A14" s="183">
        <v>70</v>
      </c>
      <c r="B14" s="183" t="s">
        <v>1139</v>
      </c>
      <c r="C14" s="241">
        <f>'EN 08006'!N4</f>
        <v>2.000593195</v>
      </c>
      <c r="D14" s="410">
        <v>1</v>
      </c>
      <c r="E14" s="385">
        <f t="shared" si="0"/>
        <v>2.000593195</v>
      </c>
    </row>
    <row r="15" spans="1:14" x14ac:dyDescent="0.3">
      <c r="A15" s="183">
        <v>80</v>
      </c>
      <c r="B15" s="183" t="s">
        <v>1140</v>
      </c>
      <c r="C15" s="241">
        <f>'EN 08007'!N4</f>
        <v>1.7337772</v>
      </c>
      <c r="D15" s="410">
        <v>1</v>
      </c>
      <c r="E15" s="385">
        <f t="shared" si="0"/>
        <v>1.7337772</v>
      </c>
    </row>
    <row r="16" spans="1:14" x14ac:dyDescent="0.3">
      <c r="A16" s="183">
        <v>90</v>
      </c>
      <c r="B16" s="183" t="s">
        <v>1141</v>
      </c>
      <c r="C16" s="241">
        <f>'EN 08008'!N1</f>
        <v>1.4804854999999999</v>
      </c>
      <c r="D16" s="410">
        <v>1</v>
      </c>
      <c r="E16" s="385">
        <f t="shared" si="0"/>
        <v>1.4804854999999999</v>
      </c>
    </row>
    <row r="17" spans="1:14" x14ac:dyDescent="0.3">
      <c r="D17" s="321" t="s">
        <v>547</v>
      </c>
      <c r="E17" s="429">
        <f>SUM(E9:E16)</f>
        <v>142.17169969833333</v>
      </c>
    </row>
    <row r="19" spans="1:14" x14ac:dyDescent="0.3">
      <c r="A19" s="426" t="s">
        <v>544</v>
      </c>
      <c r="B19" s="426" t="s">
        <v>581</v>
      </c>
      <c r="C19" s="426" t="s">
        <v>549</v>
      </c>
      <c r="D19" s="426" t="s">
        <v>550</v>
      </c>
      <c r="E19" s="426" t="s">
        <v>567</v>
      </c>
      <c r="F19" s="426" t="s">
        <v>568</v>
      </c>
      <c r="G19" s="426" t="s">
        <v>569</v>
      </c>
      <c r="H19" s="426" t="s">
        <v>570</v>
      </c>
      <c r="I19" s="426" t="s">
        <v>582</v>
      </c>
      <c r="J19" s="426" t="s">
        <v>583</v>
      </c>
      <c r="K19" s="426" t="s">
        <v>584</v>
      </c>
      <c r="L19" s="426" t="s">
        <v>585</v>
      </c>
      <c r="M19" s="426" t="s">
        <v>28</v>
      </c>
      <c r="N19" s="426" t="s">
        <v>547</v>
      </c>
    </row>
    <row r="20" spans="1:14" x14ac:dyDescent="0.3">
      <c r="A20" s="183">
        <v>10</v>
      </c>
      <c r="B20" s="183" t="s">
        <v>1142</v>
      </c>
      <c r="C20" s="183" t="s">
        <v>1143</v>
      </c>
      <c r="D20" s="241">
        <v>0</v>
      </c>
      <c r="E20" s="183">
        <v>2.5</v>
      </c>
      <c r="F20" s="183" t="s">
        <v>1144</v>
      </c>
      <c r="G20" s="183"/>
      <c r="H20" s="204"/>
      <c r="I20" s="205"/>
      <c r="J20" s="430"/>
      <c r="K20" s="204"/>
      <c r="L20" s="204"/>
      <c r="M20" s="431">
        <v>1</v>
      </c>
      <c r="N20" s="385">
        <f>IF(J20="",D20*M20,D20*J20*K20*L20*M20)</f>
        <v>0</v>
      </c>
    </row>
    <row r="21" spans="1:14" ht="31.8" customHeight="1" x14ac:dyDescent="0.3">
      <c r="A21" s="183">
        <v>20</v>
      </c>
      <c r="B21" s="190" t="s">
        <v>768</v>
      </c>
      <c r="C21" s="183" t="s">
        <v>1145</v>
      </c>
      <c r="D21" s="241">
        <v>4.05</v>
      </c>
      <c r="E21" s="183">
        <v>15</v>
      </c>
      <c r="F21" s="183" t="s">
        <v>573</v>
      </c>
      <c r="G21" s="183"/>
      <c r="H21" s="204"/>
      <c r="I21" s="205"/>
      <c r="J21" s="430"/>
      <c r="K21" s="204"/>
      <c r="L21" s="204"/>
      <c r="M21" s="431">
        <v>2</v>
      </c>
      <c r="N21" s="385">
        <f>IF(J21="",D21*M21,D21*J21*K21*L21*M21)</f>
        <v>8.1</v>
      </c>
    </row>
    <row r="22" spans="1:14" s="432" customFormat="1" x14ac:dyDescent="0.3">
      <c r="M22" s="321" t="s">
        <v>547</v>
      </c>
      <c r="N22" s="429">
        <f>SUM(N20:N21)</f>
        <v>8.1</v>
      </c>
    </row>
    <row r="24" spans="1:14" s="432" customFormat="1" x14ac:dyDescent="0.3">
      <c r="A24" s="426" t="s">
        <v>544</v>
      </c>
      <c r="B24" s="426" t="s">
        <v>548</v>
      </c>
      <c r="C24" s="426" t="s">
        <v>549</v>
      </c>
      <c r="D24" s="426" t="s">
        <v>550</v>
      </c>
      <c r="E24" s="426" t="s">
        <v>551</v>
      </c>
      <c r="F24" s="426" t="s">
        <v>28</v>
      </c>
      <c r="G24" s="426" t="s">
        <v>552</v>
      </c>
      <c r="H24" s="426" t="s">
        <v>553</v>
      </c>
      <c r="I24" s="426" t="s">
        <v>547</v>
      </c>
    </row>
    <row r="25" spans="1:14" x14ac:dyDescent="0.3">
      <c r="A25" s="183">
        <v>10</v>
      </c>
      <c r="B25" s="414" t="s">
        <v>650</v>
      </c>
      <c r="C25" s="414" t="s">
        <v>1146</v>
      </c>
      <c r="D25" s="241">
        <v>0.15</v>
      </c>
      <c r="E25" s="183" t="s">
        <v>593</v>
      </c>
      <c r="F25" s="183">
        <v>3.9</v>
      </c>
      <c r="G25" s="183"/>
      <c r="H25" s="183"/>
      <c r="I25" s="385">
        <f>F25*D25</f>
        <v>0.58499999999999996</v>
      </c>
    </row>
    <row r="26" spans="1:14" x14ac:dyDescent="0.3">
      <c r="A26" s="183">
        <v>20</v>
      </c>
      <c r="B26" s="414" t="s">
        <v>650</v>
      </c>
      <c r="C26" s="414" t="s">
        <v>1147</v>
      </c>
      <c r="D26" s="241">
        <v>0.15</v>
      </c>
      <c r="E26" s="183" t="s">
        <v>593</v>
      </c>
      <c r="F26" s="183">
        <v>4.7</v>
      </c>
      <c r="G26" s="183"/>
      <c r="H26" s="183"/>
      <c r="I26" s="385">
        <f>F26*D26</f>
        <v>0.70499999999999996</v>
      </c>
    </row>
    <row r="27" spans="1:14" x14ac:dyDescent="0.3">
      <c r="A27" s="183">
        <v>30</v>
      </c>
      <c r="B27" s="414" t="s">
        <v>650</v>
      </c>
      <c r="C27" s="414" t="s">
        <v>1148</v>
      </c>
      <c r="D27" s="241">
        <v>0.15</v>
      </c>
      <c r="E27" s="183" t="s">
        <v>593</v>
      </c>
      <c r="F27" s="183">
        <v>3</v>
      </c>
      <c r="G27" s="183"/>
      <c r="H27" s="183"/>
      <c r="I27" s="385">
        <f>F27*D27</f>
        <v>0.44999999999999996</v>
      </c>
    </row>
    <row r="28" spans="1:14" x14ac:dyDescent="0.3">
      <c r="A28" s="183">
        <v>40</v>
      </c>
      <c r="B28" s="414" t="s">
        <v>650</v>
      </c>
      <c r="C28" s="414" t="s">
        <v>1149</v>
      </c>
      <c r="D28" s="241">
        <v>0.15</v>
      </c>
      <c r="E28" s="183" t="s">
        <v>593</v>
      </c>
      <c r="F28" s="183">
        <v>20</v>
      </c>
      <c r="G28" s="183"/>
      <c r="H28" s="183"/>
      <c r="I28" s="385">
        <f>F28*D28</f>
        <v>3</v>
      </c>
    </row>
    <row r="29" spans="1:14" ht="28.8" x14ac:dyDescent="0.3">
      <c r="A29" s="183">
        <v>50</v>
      </c>
      <c r="B29" s="350" t="s">
        <v>557</v>
      </c>
      <c r="C29" s="193" t="s">
        <v>1150</v>
      </c>
      <c r="D29" s="241">
        <v>0.06</v>
      </c>
      <c r="E29" s="183" t="s">
        <v>551</v>
      </c>
      <c r="F29" s="183">
        <v>2</v>
      </c>
      <c r="G29" s="183"/>
      <c r="H29" s="183"/>
      <c r="I29" s="385">
        <f>F29*D29</f>
        <v>0.12</v>
      </c>
    </row>
    <row r="30" spans="1:14" ht="28.8" x14ac:dyDescent="0.3">
      <c r="A30" s="183">
        <v>60</v>
      </c>
      <c r="B30" s="180" t="s">
        <v>1151</v>
      </c>
      <c r="C30" s="193" t="s">
        <v>1152</v>
      </c>
      <c r="D30" s="241">
        <v>0.38</v>
      </c>
      <c r="E30" s="183" t="s">
        <v>551</v>
      </c>
      <c r="F30" s="183">
        <v>1</v>
      </c>
      <c r="G30" s="183"/>
      <c r="H30" s="183"/>
      <c r="I30" s="241">
        <f>D30*F30</f>
        <v>0.38</v>
      </c>
    </row>
    <row r="31" spans="1:14" x14ac:dyDescent="0.3">
      <c r="A31" s="183">
        <v>70</v>
      </c>
      <c r="B31" s="348" t="s">
        <v>557</v>
      </c>
      <c r="C31" s="193" t="s">
        <v>1153</v>
      </c>
      <c r="D31" s="241">
        <v>0.06</v>
      </c>
      <c r="E31" s="183" t="s">
        <v>551</v>
      </c>
      <c r="F31" s="183">
        <v>4</v>
      </c>
      <c r="G31" s="183"/>
      <c r="H31" s="183"/>
      <c r="I31" s="241">
        <f>D31*F31</f>
        <v>0.24</v>
      </c>
    </row>
    <row r="32" spans="1:14" x14ac:dyDescent="0.3">
      <c r="A32" s="183">
        <v>80</v>
      </c>
      <c r="B32" s="180" t="s">
        <v>559</v>
      </c>
      <c r="C32" s="193" t="s">
        <v>1153</v>
      </c>
      <c r="D32" s="241">
        <v>0.75</v>
      </c>
      <c r="E32" s="183" t="s">
        <v>551</v>
      </c>
      <c r="F32" s="183">
        <v>4</v>
      </c>
      <c r="G32" s="183"/>
      <c r="H32" s="183"/>
      <c r="I32" s="241">
        <f>F32*D32</f>
        <v>3</v>
      </c>
    </row>
    <row r="33" spans="1:10" ht="28.8" x14ac:dyDescent="0.3">
      <c r="A33" s="183">
        <v>90</v>
      </c>
      <c r="B33" s="180" t="s">
        <v>749</v>
      </c>
      <c r="C33" s="193" t="s">
        <v>1154</v>
      </c>
      <c r="D33" s="241">
        <v>0.13</v>
      </c>
      <c r="E33" s="183" t="s">
        <v>551</v>
      </c>
      <c r="F33" s="183">
        <v>2</v>
      </c>
      <c r="G33" s="183"/>
      <c r="H33" s="183"/>
      <c r="I33" s="241">
        <f>F33*D33</f>
        <v>0.26</v>
      </c>
    </row>
    <row r="34" spans="1:10" x14ac:dyDescent="0.3">
      <c r="A34" s="183">
        <v>100</v>
      </c>
      <c r="B34" s="348" t="s">
        <v>557</v>
      </c>
      <c r="C34" s="193" t="s">
        <v>1155</v>
      </c>
      <c r="D34" s="241">
        <v>0.06</v>
      </c>
      <c r="E34" s="183" t="s">
        <v>551</v>
      </c>
      <c r="F34" s="183">
        <v>2</v>
      </c>
      <c r="G34" s="183"/>
      <c r="H34" s="183"/>
      <c r="I34" s="241">
        <f>F34*D34</f>
        <v>0.12</v>
      </c>
    </row>
    <row r="35" spans="1:10" x14ac:dyDescent="0.3">
      <c r="A35" s="183">
        <v>110</v>
      </c>
      <c r="B35" s="180" t="s">
        <v>559</v>
      </c>
      <c r="C35" s="193" t="s">
        <v>1155</v>
      </c>
      <c r="D35" s="241">
        <v>0.75</v>
      </c>
      <c r="E35" s="183" t="s">
        <v>551</v>
      </c>
      <c r="F35" s="183">
        <v>2</v>
      </c>
      <c r="G35" s="183"/>
      <c r="H35" s="183"/>
      <c r="I35" s="241">
        <f>F35*D35</f>
        <v>1.5</v>
      </c>
    </row>
    <row r="36" spans="1:10" x14ac:dyDescent="0.3">
      <c r="A36" s="183">
        <v>120</v>
      </c>
      <c r="B36" s="180" t="s">
        <v>616</v>
      </c>
      <c r="C36" s="193" t="s">
        <v>1155</v>
      </c>
      <c r="D36" s="241">
        <v>0.25</v>
      </c>
      <c r="E36" s="183" t="s">
        <v>551</v>
      </c>
      <c r="F36" s="183">
        <v>2</v>
      </c>
      <c r="G36" s="183"/>
      <c r="H36" s="183"/>
      <c r="I36" s="241">
        <f>F36*D36</f>
        <v>0.5</v>
      </c>
    </row>
    <row r="37" spans="1:10" x14ac:dyDescent="0.3">
      <c r="A37" s="183">
        <v>130</v>
      </c>
      <c r="B37" s="180" t="s">
        <v>760</v>
      </c>
      <c r="C37" s="414" t="s">
        <v>1156</v>
      </c>
      <c r="D37" s="241">
        <v>0.19</v>
      </c>
      <c r="E37" s="183" t="s">
        <v>1157</v>
      </c>
      <c r="F37" s="183">
        <v>2</v>
      </c>
      <c r="G37" s="183"/>
      <c r="H37" s="183"/>
      <c r="I37" s="241">
        <f>D37*F37</f>
        <v>0.38</v>
      </c>
    </row>
    <row r="38" spans="1:10" x14ac:dyDescent="0.3">
      <c r="A38" s="183">
        <v>140</v>
      </c>
      <c r="B38" s="180" t="s">
        <v>659</v>
      </c>
      <c r="C38" s="414" t="s">
        <v>1158</v>
      </c>
      <c r="D38" s="241">
        <v>0.5</v>
      </c>
      <c r="E38" s="183" t="s">
        <v>556</v>
      </c>
      <c r="F38" s="183">
        <v>2</v>
      </c>
      <c r="G38" s="183"/>
      <c r="H38" s="183"/>
      <c r="I38" s="241">
        <f>D38*F38</f>
        <v>1</v>
      </c>
    </row>
    <row r="39" spans="1:10" x14ac:dyDescent="0.3">
      <c r="B39" s="433"/>
      <c r="C39" s="433"/>
      <c r="D39" s="434"/>
      <c r="H39" s="321" t="s">
        <v>547</v>
      </c>
      <c r="I39" s="429">
        <f>SUM(I25:I38)</f>
        <v>12.24</v>
      </c>
    </row>
    <row r="40" spans="1:10" x14ac:dyDescent="0.3">
      <c r="B40" s="433"/>
      <c r="C40" s="433"/>
      <c r="D40" s="434"/>
      <c r="H40" s="359"/>
      <c r="I40" s="435"/>
    </row>
    <row r="41" spans="1:10" x14ac:dyDescent="0.3">
      <c r="A41" s="426" t="s">
        <v>544</v>
      </c>
      <c r="B41" s="426" t="s">
        <v>566</v>
      </c>
      <c r="C41" s="426" t="s">
        <v>549</v>
      </c>
      <c r="D41" s="426" t="s">
        <v>550</v>
      </c>
      <c r="E41" s="426" t="s">
        <v>567</v>
      </c>
      <c r="F41" s="426" t="s">
        <v>568</v>
      </c>
      <c r="G41" s="426" t="s">
        <v>569</v>
      </c>
      <c r="H41" s="426" t="s">
        <v>570</v>
      </c>
      <c r="I41" s="426" t="s">
        <v>28</v>
      </c>
      <c r="J41" s="426" t="s">
        <v>547</v>
      </c>
    </row>
    <row r="42" spans="1:10" ht="14.25" customHeight="1" x14ac:dyDescent="0.3">
      <c r="A42" s="183">
        <v>10</v>
      </c>
      <c r="B42" s="190" t="s">
        <v>684</v>
      </c>
      <c r="C42" s="183" t="s">
        <v>1159</v>
      </c>
      <c r="D42" s="436">
        <v>0.08</v>
      </c>
      <c r="E42" s="183">
        <v>8</v>
      </c>
      <c r="F42" s="437" t="s">
        <v>573</v>
      </c>
      <c r="G42" s="183">
        <v>20</v>
      </c>
      <c r="H42" s="414" t="s">
        <v>573</v>
      </c>
      <c r="I42" s="438">
        <v>1</v>
      </c>
      <c r="J42" s="241">
        <f>D42*I42</f>
        <v>0.08</v>
      </c>
    </row>
    <row r="43" spans="1:10" x14ac:dyDescent="0.3">
      <c r="A43" s="183">
        <v>20</v>
      </c>
      <c r="B43" s="439" t="s">
        <v>618</v>
      </c>
      <c r="C43" s="183" t="s">
        <v>1160</v>
      </c>
      <c r="D43" s="436">
        <v>0.04</v>
      </c>
      <c r="E43" s="183">
        <v>8</v>
      </c>
      <c r="F43" s="437" t="s">
        <v>573</v>
      </c>
      <c r="G43" s="183"/>
      <c r="H43" s="414"/>
      <c r="I43" s="438">
        <v>5</v>
      </c>
      <c r="J43" s="241">
        <f>D43*I43</f>
        <v>0.2</v>
      </c>
    </row>
    <row r="44" spans="1:10" x14ac:dyDescent="0.3">
      <c r="A44" s="183">
        <v>30</v>
      </c>
      <c r="B44" s="440" t="s">
        <v>684</v>
      </c>
      <c r="C44" s="183" t="s">
        <v>1161</v>
      </c>
      <c r="D44" s="241">
        <v>0.04</v>
      </c>
      <c r="E44" s="183">
        <v>6</v>
      </c>
      <c r="F44" s="437" t="s">
        <v>573</v>
      </c>
      <c r="G44" s="183">
        <v>15</v>
      </c>
      <c r="H44" s="414" t="s">
        <v>573</v>
      </c>
      <c r="I44" s="438">
        <v>1</v>
      </c>
      <c r="J44" s="241">
        <f>D44*I44</f>
        <v>0.04</v>
      </c>
    </row>
    <row r="45" spans="1:10" x14ac:dyDescent="0.3">
      <c r="A45" s="183">
        <v>40</v>
      </c>
      <c r="B45" s="441" t="s">
        <v>618</v>
      </c>
      <c r="C45" s="442" t="s">
        <v>1162</v>
      </c>
      <c r="D45" s="443">
        <v>0.03</v>
      </c>
      <c r="E45" s="442">
        <v>6</v>
      </c>
      <c r="F45" s="444" t="s">
        <v>573</v>
      </c>
      <c r="G45" s="183"/>
      <c r="H45" s="414"/>
      <c r="I45" s="438">
        <v>1</v>
      </c>
      <c r="J45" s="241">
        <f>D45*I45</f>
        <v>0.03</v>
      </c>
    </row>
    <row r="46" spans="1:10" x14ac:dyDescent="0.3">
      <c r="A46" s="183">
        <v>50</v>
      </c>
      <c r="B46" s="445" t="s">
        <v>574</v>
      </c>
      <c r="C46" s="442" t="s">
        <v>1163</v>
      </c>
      <c r="D46" s="241">
        <v>0.01</v>
      </c>
      <c r="E46" s="442">
        <v>6</v>
      </c>
      <c r="F46" s="444" t="s">
        <v>573</v>
      </c>
      <c r="G46" s="183"/>
      <c r="H46" s="414"/>
      <c r="I46" s="438">
        <v>1</v>
      </c>
      <c r="J46" s="241">
        <f>D46*I46</f>
        <v>0.01</v>
      </c>
    </row>
    <row r="47" spans="1:10" x14ac:dyDescent="0.3">
      <c r="A47" s="183">
        <v>60</v>
      </c>
      <c r="B47" s="439" t="s">
        <v>1014</v>
      </c>
      <c r="C47" s="183" t="s">
        <v>1164</v>
      </c>
      <c r="D47" s="446">
        <v>0.60160000000000002</v>
      </c>
      <c r="E47" s="183">
        <v>25.4</v>
      </c>
      <c r="F47" s="437" t="s">
        <v>573</v>
      </c>
      <c r="G47" s="183"/>
      <c r="H47" s="414"/>
      <c r="I47" s="438">
        <v>2</v>
      </c>
      <c r="J47" s="241">
        <f>I47*D47</f>
        <v>1.2032</v>
      </c>
    </row>
    <row r="48" spans="1:10" s="432" customFormat="1" x14ac:dyDescent="0.3">
      <c r="I48" s="321" t="s">
        <v>547</v>
      </c>
      <c r="J48" s="429">
        <f>SUM(J42:J47)</f>
        <v>1.5632000000000001</v>
      </c>
    </row>
    <row r="49" spans="1:9" x14ac:dyDescent="0.3">
      <c r="H49" s="326"/>
      <c r="I49" s="447"/>
    </row>
    <row r="50" spans="1:9" s="432" customFormat="1" x14ac:dyDescent="0.3">
      <c r="A50" s="426" t="s">
        <v>544</v>
      </c>
      <c r="B50" s="426" t="s">
        <v>6</v>
      </c>
      <c r="C50" s="426" t="s">
        <v>549</v>
      </c>
      <c r="D50" s="426" t="s">
        <v>550</v>
      </c>
      <c r="E50" s="426" t="s">
        <v>551</v>
      </c>
      <c r="F50" s="426" t="s">
        <v>28</v>
      </c>
      <c r="G50" s="426" t="s">
        <v>691</v>
      </c>
      <c r="H50" s="426" t="s">
        <v>736</v>
      </c>
      <c r="I50" s="426" t="s">
        <v>547</v>
      </c>
    </row>
    <row r="51" spans="1:9" x14ac:dyDescent="0.3">
      <c r="A51" s="183">
        <v>10</v>
      </c>
      <c r="B51" s="448" t="s">
        <v>693</v>
      </c>
      <c r="C51" s="183" t="s">
        <v>1165</v>
      </c>
      <c r="D51" s="241">
        <v>500</v>
      </c>
      <c r="E51" s="183" t="s">
        <v>1166</v>
      </c>
      <c r="F51" s="183">
        <v>12</v>
      </c>
      <c r="G51" s="183">
        <v>3000</v>
      </c>
      <c r="H51" s="183">
        <v>1</v>
      </c>
      <c r="I51" s="385">
        <f>D51*F51/G51*H51</f>
        <v>2</v>
      </c>
    </row>
    <row r="52" spans="1:9" s="432" customFormat="1" x14ac:dyDescent="0.3">
      <c r="H52" s="321" t="s">
        <v>547</v>
      </c>
      <c r="I52" s="449">
        <f>SUM(I51:I51)</f>
        <v>2</v>
      </c>
    </row>
  </sheetData>
  <pageMargins left="0.5" right="0.5" top="0.75" bottom="0.75" header="0.3" footer="0.3"/>
  <pageSetup paperSize="9" scale="56" orientation="landscape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N178"/>
  <sheetViews>
    <sheetView showGridLines="0" workbookViewId="0"/>
  </sheetViews>
  <sheetFormatPr defaultColWidth="11.44140625" defaultRowHeight="14.4" x14ac:dyDescent="0.3"/>
  <cols>
    <col min="2" max="2" width="29" customWidth="1"/>
    <col min="6" max="6" width="11.88671875" bestFit="1" customWidth="1"/>
    <col min="9" max="9" width="18.109375" customWidth="1"/>
    <col min="13" max="13" width="14.88671875" customWidth="1"/>
  </cols>
  <sheetData>
    <row r="1" spans="1:14" x14ac:dyDescent="0.3">
      <c r="A1" s="197" t="s">
        <v>523</v>
      </c>
      <c r="B1" s="161" t="s">
        <v>524</v>
      </c>
      <c r="J1" s="198" t="s">
        <v>528</v>
      </c>
      <c r="K1" s="163">
        <v>81</v>
      </c>
      <c r="M1" s="197" t="s">
        <v>546</v>
      </c>
      <c r="N1" s="164">
        <f>N11</f>
        <v>0.96000000000000019</v>
      </c>
    </row>
    <row r="2" spans="1:14" x14ac:dyDescent="0.3">
      <c r="A2" s="197" t="s">
        <v>532</v>
      </c>
      <c r="B2" s="161" t="s">
        <v>578</v>
      </c>
      <c r="D2" s="197" t="s">
        <v>536</v>
      </c>
      <c r="M2" s="197" t="s">
        <v>533</v>
      </c>
      <c r="N2" s="165">
        <v>4</v>
      </c>
    </row>
    <row r="3" spans="1:14" x14ac:dyDescent="0.3">
      <c r="A3" s="197" t="s">
        <v>534</v>
      </c>
      <c r="B3" t="s">
        <v>579</v>
      </c>
      <c r="D3" s="197" t="s">
        <v>538</v>
      </c>
      <c r="J3" s="197" t="s">
        <v>536</v>
      </c>
    </row>
    <row r="4" spans="1:14" x14ac:dyDescent="0.3">
      <c r="A4" s="197" t="s">
        <v>545</v>
      </c>
      <c r="B4" s="166" t="s">
        <v>44</v>
      </c>
      <c r="D4" s="197" t="s">
        <v>541</v>
      </c>
      <c r="J4" s="197" t="s">
        <v>538</v>
      </c>
      <c r="M4" s="197" t="s">
        <v>539</v>
      </c>
      <c r="N4" s="164">
        <f>N2*N1</f>
        <v>3.8400000000000007</v>
      </c>
    </row>
    <row r="5" spans="1:14" x14ac:dyDescent="0.3">
      <c r="A5" s="197" t="s">
        <v>537</v>
      </c>
      <c r="B5" s="199" t="s">
        <v>43</v>
      </c>
      <c r="J5" s="197" t="s">
        <v>541</v>
      </c>
    </row>
    <row r="6" spans="1:14" x14ac:dyDescent="0.3">
      <c r="A6" s="197" t="s">
        <v>540</v>
      </c>
      <c r="B6" s="161" t="s">
        <v>36</v>
      </c>
    </row>
    <row r="7" spans="1:14" x14ac:dyDescent="0.3">
      <c r="A7" s="200" t="s">
        <v>542</v>
      </c>
      <c r="B7" s="161" t="s">
        <v>601</v>
      </c>
    </row>
    <row r="8" spans="1:14" x14ac:dyDescent="0.3">
      <c r="A8" s="201"/>
      <c r="B8" s="201"/>
      <c r="C8" s="201"/>
      <c r="D8" s="201"/>
      <c r="E8" s="201"/>
    </row>
    <row r="9" spans="1:14" x14ac:dyDescent="0.3">
      <c r="A9" s="202" t="s">
        <v>544</v>
      </c>
      <c r="B9" s="202" t="s">
        <v>581</v>
      </c>
      <c r="C9" s="202" t="s">
        <v>549</v>
      </c>
      <c r="D9" s="202" t="s">
        <v>550</v>
      </c>
      <c r="E9" s="202" t="s">
        <v>567</v>
      </c>
      <c r="F9" s="203" t="s">
        <v>568</v>
      </c>
      <c r="G9" s="203" t="s">
        <v>569</v>
      </c>
      <c r="H9" s="203" t="s">
        <v>570</v>
      </c>
      <c r="I9" s="203" t="s">
        <v>582</v>
      </c>
      <c r="J9" s="203" t="s">
        <v>583</v>
      </c>
      <c r="K9" s="203" t="s">
        <v>584</v>
      </c>
      <c r="L9" s="203" t="s">
        <v>585</v>
      </c>
      <c r="M9" s="203" t="s">
        <v>28</v>
      </c>
      <c r="N9" s="203" t="s">
        <v>547</v>
      </c>
    </row>
    <row r="10" spans="1:14" x14ac:dyDescent="0.3">
      <c r="A10" s="168">
        <v>10</v>
      </c>
      <c r="B10" s="225" t="s">
        <v>602</v>
      </c>
      <c r="C10" s="168" t="s">
        <v>44</v>
      </c>
      <c r="D10" s="226">
        <v>2.0000000000000001E-4</v>
      </c>
      <c r="E10" s="179">
        <v>40</v>
      </c>
      <c r="F10" s="168" t="s">
        <v>573</v>
      </c>
      <c r="G10" s="168">
        <v>40</v>
      </c>
      <c r="H10" s="219" t="s">
        <v>573</v>
      </c>
      <c r="I10" s="220" t="s">
        <v>603</v>
      </c>
      <c r="J10" s="227">
        <f>0.04*0.04</f>
        <v>1.6000000000000001E-3</v>
      </c>
      <c r="K10" s="228">
        <v>3.0000000000000001E-3</v>
      </c>
      <c r="L10" s="219"/>
      <c r="M10" s="222">
        <v>1</v>
      </c>
      <c r="N10" s="223">
        <f>J10*K10*D10*10^9</f>
        <v>0.96000000000000019</v>
      </c>
    </row>
    <row r="11" spans="1:14" x14ac:dyDescent="0.3">
      <c r="A11" s="178"/>
      <c r="B11" s="178"/>
      <c r="C11" s="178"/>
      <c r="D11" s="229"/>
      <c r="E11" s="178"/>
      <c r="F11" s="178"/>
      <c r="G11" s="178"/>
      <c r="H11" s="178"/>
      <c r="I11" s="178"/>
      <c r="J11" s="178"/>
      <c r="K11" s="178"/>
      <c r="L11" s="178"/>
      <c r="M11" s="216" t="s">
        <v>547</v>
      </c>
      <c r="N11" s="224">
        <f>N10</f>
        <v>0.96000000000000019</v>
      </c>
    </row>
    <row r="13" spans="1:14" x14ac:dyDescent="0.3">
      <c r="J13" s="230"/>
    </row>
    <row r="15" spans="1:14" x14ac:dyDescent="0.3">
      <c r="C15" s="231"/>
      <c r="D15" s="229"/>
      <c r="E15" s="229"/>
      <c r="F15" s="175"/>
      <c r="G15" s="229"/>
    </row>
    <row r="41" spans="1:8" x14ac:dyDescent="0.3">
      <c r="A41" s="161"/>
      <c r="B41" s="161"/>
      <c r="C41" s="161"/>
      <c r="D41" s="161"/>
      <c r="E41" s="161"/>
      <c r="F41" s="161"/>
      <c r="G41" s="161"/>
      <c r="H41" s="161"/>
    </row>
    <row r="42" spans="1:8" x14ac:dyDescent="0.3">
      <c r="A42" s="161"/>
      <c r="B42" s="161"/>
      <c r="C42" s="161"/>
      <c r="D42" s="161"/>
      <c r="E42" s="161"/>
      <c r="F42" s="161"/>
      <c r="G42" s="161"/>
      <c r="H42" s="161"/>
    </row>
    <row r="43" spans="1:8" x14ac:dyDescent="0.3">
      <c r="A43" s="161"/>
      <c r="B43" s="161"/>
      <c r="C43" s="161"/>
      <c r="D43" s="161"/>
      <c r="E43" s="161"/>
      <c r="F43" s="161"/>
      <c r="G43" s="161"/>
      <c r="H43" s="161"/>
    </row>
    <row r="44" spans="1:8" x14ac:dyDescent="0.3">
      <c r="A44" s="161"/>
      <c r="B44" s="161"/>
      <c r="C44" s="161"/>
      <c r="D44" s="161"/>
      <c r="E44" s="161"/>
      <c r="F44" s="161"/>
      <c r="G44" s="161"/>
      <c r="H44" s="161"/>
    </row>
    <row r="45" spans="1:8" x14ac:dyDescent="0.3">
      <c r="A45" s="161"/>
      <c r="B45" s="161"/>
      <c r="C45" s="161"/>
      <c r="D45" s="161"/>
      <c r="E45" s="161"/>
      <c r="F45" s="161"/>
      <c r="G45" s="161"/>
      <c r="H45" s="161"/>
    </row>
    <row r="46" spans="1:8" x14ac:dyDescent="0.3">
      <c r="A46" s="161"/>
      <c r="B46" s="161"/>
      <c r="C46" s="161"/>
      <c r="D46" s="161"/>
      <c r="E46" s="161"/>
      <c r="F46" s="161"/>
      <c r="G46" s="161"/>
      <c r="H46" s="161"/>
    </row>
    <row r="47" spans="1:8" x14ac:dyDescent="0.3">
      <c r="A47" s="161"/>
      <c r="B47" s="161"/>
      <c r="C47" s="161"/>
      <c r="D47" s="161"/>
      <c r="E47" s="161"/>
      <c r="F47" s="161"/>
      <c r="G47" s="161"/>
      <c r="H47" s="161"/>
    </row>
    <row r="48" spans="1:8" x14ac:dyDescent="0.3">
      <c r="A48" s="161"/>
      <c r="B48" s="161"/>
      <c r="C48" s="161"/>
      <c r="D48" s="161"/>
      <c r="E48" s="161"/>
      <c r="F48" s="161"/>
      <c r="G48" s="161"/>
      <c r="H48" s="161"/>
    </row>
    <row r="49" spans="1:8" x14ac:dyDescent="0.3">
      <c r="A49" s="161"/>
      <c r="B49" s="161"/>
      <c r="C49" s="161"/>
      <c r="D49" s="161"/>
      <c r="E49" s="161"/>
      <c r="F49" s="161"/>
      <c r="G49" s="161"/>
      <c r="H49" s="161"/>
    </row>
    <row r="50" spans="1:8" x14ac:dyDescent="0.3">
      <c r="A50" s="161"/>
      <c r="B50" s="161"/>
      <c r="C50" s="161"/>
      <c r="D50" s="161"/>
      <c r="E50" s="161"/>
      <c r="F50" s="161"/>
      <c r="G50" s="161"/>
      <c r="H50" s="161"/>
    </row>
    <row r="51" spans="1:8" x14ac:dyDescent="0.3">
      <c r="A51" s="161"/>
      <c r="B51" s="161"/>
      <c r="C51" s="161"/>
      <c r="D51" s="161"/>
      <c r="E51" s="161"/>
      <c r="F51" s="161"/>
      <c r="G51" s="161"/>
      <c r="H51" s="161"/>
    </row>
    <row r="52" spans="1:8" x14ac:dyDescent="0.3">
      <c r="A52" s="161"/>
      <c r="B52" s="161"/>
      <c r="C52" s="161"/>
      <c r="D52" s="161"/>
      <c r="E52" s="161"/>
      <c r="F52" s="161"/>
      <c r="G52" s="161"/>
      <c r="H52" s="161"/>
    </row>
    <row r="53" spans="1:8" x14ac:dyDescent="0.3">
      <c r="A53" s="161"/>
      <c r="B53" s="161"/>
      <c r="C53" s="161"/>
      <c r="D53" s="161"/>
      <c r="E53" s="161"/>
      <c r="F53" s="161"/>
      <c r="G53" s="161"/>
      <c r="H53" s="161"/>
    </row>
    <row r="54" spans="1:8" x14ac:dyDescent="0.3">
      <c r="A54" s="161"/>
      <c r="B54" s="161"/>
      <c r="C54" s="161"/>
      <c r="D54" s="161"/>
      <c r="E54" s="161"/>
      <c r="F54" s="161"/>
      <c r="G54" s="161"/>
      <c r="H54" s="161"/>
    </row>
    <row r="55" spans="1:8" x14ac:dyDescent="0.3">
      <c r="A55" s="161"/>
      <c r="B55" s="161"/>
      <c r="C55" s="161"/>
      <c r="D55" s="161"/>
      <c r="E55" s="161"/>
      <c r="F55" s="161"/>
      <c r="G55" s="161"/>
      <c r="H55" s="161"/>
    </row>
    <row r="56" spans="1:8" x14ac:dyDescent="0.3">
      <c r="A56" s="161"/>
      <c r="B56" s="161"/>
      <c r="C56" s="161"/>
      <c r="D56" s="161"/>
      <c r="E56" s="161"/>
      <c r="F56" s="161"/>
      <c r="G56" s="161"/>
      <c r="H56" s="161"/>
    </row>
    <row r="57" spans="1:8" x14ac:dyDescent="0.3">
      <c r="A57" s="161"/>
      <c r="B57" s="161"/>
      <c r="C57" s="161"/>
      <c r="D57" s="161"/>
      <c r="E57" s="161"/>
      <c r="F57" s="161"/>
      <c r="G57" s="161"/>
      <c r="H57" s="161"/>
    </row>
    <row r="58" spans="1:8" x14ac:dyDescent="0.3">
      <c r="A58" s="161"/>
      <c r="B58" s="161"/>
      <c r="C58" s="161"/>
      <c r="D58" s="161"/>
      <c r="E58" s="161"/>
      <c r="F58" s="161"/>
      <c r="G58" s="161"/>
      <c r="H58" s="161"/>
    </row>
    <row r="59" spans="1:8" x14ac:dyDescent="0.3">
      <c r="A59" s="161"/>
      <c r="B59" s="161"/>
      <c r="C59" s="161"/>
      <c r="D59" s="161"/>
      <c r="E59" s="161"/>
      <c r="F59" s="161"/>
      <c r="G59" s="161"/>
      <c r="H59" s="161"/>
    </row>
    <row r="60" spans="1:8" x14ac:dyDescent="0.3">
      <c r="A60" s="161"/>
      <c r="B60" s="161"/>
      <c r="C60" s="161"/>
      <c r="D60" s="161"/>
      <c r="E60" s="161"/>
      <c r="F60" s="161"/>
      <c r="G60" s="161"/>
      <c r="H60" s="161"/>
    </row>
    <row r="61" spans="1:8" x14ac:dyDescent="0.3">
      <c r="A61" s="161"/>
      <c r="B61" s="161"/>
      <c r="C61" s="161"/>
      <c r="D61" s="161"/>
      <c r="E61" s="161"/>
      <c r="F61" s="161"/>
      <c r="G61" s="161"/>
      <c r="H61" s="161"/>
    </row>
    <row r="62" spans="1:8" x14ac:dyDescent="0.3">
      <c r="A62" s="161"/>
      <c r="B62" s="161"/>
      <c r="C62" s="161"/>
      <c r="D62" s="161"/>
      <c r="E62" s="161"/>
      <c r="F62" s="161"/>
      <c r="G62" s="161"/>
      <c r="H62" s="161"/>
    </row>
    <row r="63" spans="1:8" x14ac:dyDescent="0.3">
      <c r="A63" s="161"/>
      <c r="B63" s="161"/>
      <c r="C63" s="161"/>
      <c r="D63" s="161"/>
      <c r="E63" s="161"/>
      <c r="F63" s="161"/>
      <c r="G63" s="161"/>
      <c r="H63" s="161"/>
    </row>
    <row r="64" spans="1:8" x14ac:dyDescent="0.3">
      <c r="A64" s="161"/>
      <c r="B64" s="161"/>
      <c r="C64" s="161"/>
      <c r="D64" s="161"/>
      <c r="E64" s="161"/>
      <c r="F64" s="161"/>
      <c r="G64" s="161"/>
      <c r="H64" s="161"/>
    </row>
    <row r="65" spans="1:8" x14ac:dyDescent="0.3">
      <c r="A65" s="161"/>
      <c r="B65" s="161"/>
      <c r="C65" s="161"/>
      <c r="D65" s="161"/>
      <c r="E65" s="161"/>
      <c r="F65" s="161"/>
      <c r="G65" s="161"/>
      <c r="H65" s="161"/>
    </row>
    <row r="66" spans="1:8" x14ac:dyDescent="0.3">
      <c r="A66" s="161"/>
      <c r="B66" s="161"/>
      <c r="C66" s="161"/>
      <c r="D66" s="161"/>
      <c r="E66" s="161"/>
      <c r="F66" s="161"/>
      <c r="G66" s="161"/>
      <c r="H66" s="161"/>
    </row>
    <row r="67" spans="1:8" x14ac:dyDescent="0.3">
      <c r="A67" s="161"/>
      <c r="B67" s="161"/>
      <c r="C67" s="161"/>
      <c r="D67" s="161"/>
      <c r="E67" s="161"/>
      <c r="F67" s="161"/>
      <c r="G67" s="161"/>
      <c r="H67" s="161"/>
    </row>
    <row r="68" spans="1:8" x14ac:dyDescent="0.3">
      <c r="A68" s="161"/>
      <c r="B68" s="161"/>
      <c r="C68" s="161"/>
      <c r="D68" s="161"/>
      <c r="E68" s="161"/>
      <c r="F68" s="161"/>
      <c r="G68" s="161"/>
      <c r="H68" s="161"/>
    </row>
    <row r="69" spans="1:8" x14ac:dyDescent="0.3">
      <c r="A69" s="161"/>
      <c r="B69" s="161"/>
      <c r="C69" s="161"/>
      <c r="D69" s="161"/>
      <c r="E69" s="161"/>
      <c r="F69" s="161"/>
      <c r="G69" s="161"/>
      <c r="H69" s="161"/>
    </row>
    <row r="70" spans="1:8" x14ac:dyDescent="0.3">
      <c r="A70" s="161"/>
      <c r="B70" s="161"/>
      <c r="C70" s="161"/>
      <c r="D70" s="161"/>
      <c r="E70" s="161"/>
      <c r="F70" s="161"/>
      <c r="G70" s="161"/>
      <c r="H70" s="161"/>
    </row>
    <row r="71" spans="1:8" x14ac:dyDescent="0.3">
      <c r="A71" s="161"/>
      <c r="B71" s="161"/>
      <c r="C71" s="161"/>
      <c r="D71" s="161"/>
      <c r="E71" s="161"/>
      <c r="F71" s="161"/>
      <c r="G71" s="161"/>
      <c r="H71" s="161"/>
    </row>
    <row r="72" spans="1:8" x14ac:dyDescent="0.3">
      <c r="A72" s="161"/>
      <c r="B72" s="161"/>
      <c r="C72" s="161"/>
      <c r="D72" s="161"/>
      <c r="E72" s="161"/>
      <c r="F72" s="161"/>
      <c r="G72" s="161"/>
      <c r="H72" s="161"/>
    </row>
    <row r="73" spans="1:8" x14ac:dyDescent="0.3">
      <c r="A73" s="161"/>
      <c r="B73" s="161"/>
      <c r="C73" s="161"/>
      <c r="D73" s="161"/>
      <c r="E73" s="161"/>
      <c r="F73" s="161"/>
      <c r="G73" s="161"/>
      <c r="H73" s="161"/>
    </row>
    <row r="74" spans="1:8" x14ac:dyDescent="0.3">
      <c r="A74" s="161"/>
      <c r="B74" s="161"/>
      <c r="C74" s="161"/>
      <c r="D74" s="161"/>
      <c r="E74" s="161"/>
      <c r="F74" s="161"/>
      <c r="G74" s="161"/>
      <c r="H74" s="161"/>
    </row>
    <row r="75" spans="1:8" x14ac:dyDescent="0.3">
      <c r="A75" s="161"/>
      <c r="B75" s="161"/>
      <c r="C75" s="161"/>
      <c r="D75" s="161"/>
      <c r="E75" s="161"/>
      <c r="F75" s="161"/>
      <c r="G75" s="161"/>
      <c r="H75" s="161"/>
    </row>
    <row r="76" spans="1:8" x14ac:dyDescent="0.3">
      <c r="A76" s="161"/>
      <c r="B76" s="161"/>
      <c r="C76" s="161"/>
      <c r="D76" s="161"/>
      <c r="E76" s="161"/>
      <c r="F76" s="161"/>
      <c r="G76" s="161"/>
      <c r="H76" s="161"/>
    </row>
    <row r="77" spans="1:8" x14ac:dyDescent="0.3">
      <c r="A77" s="161"/>
      <c r="B77" s="161"/>
      <c r="C77" s="161"/>
      <c r="D77" s="161"/>
      <c r="E77" s="161"/>
      <c r="F77" s="161"/>
      <c r="G77" s="161"/>
      <c r="H77" s="161"/>
    </row>
    <row r="78" spans="1:8" x14ac:dyDescent="0.3">
      <c r="A78" s="161"/>
      <c r="B78" s="161"/>
      <c r="C78" s="161"/>
      <c r="D78" s="161"/>
      <c r="E78" s="161"/>
      <c r="F78" s="161"/>
      <c r="G78" s="161"/>
      <c r="H78" s="161"/>
    </row>
    <row r="79" spans="1:8" x14ac:dyDescent="0.3">
      <c r="A79" s="161"/>
      <c r="B79" s="161"/>
      <c r="C79" s="161"/>
      <c r="D79" s="161"/>
      <c r="E79" s="161"/>
      <c r="F79" s="161"/>
      <c r="G79" s="161"/>
      <c r="H79" s="161"/>
    </row>
    <row r="80" spans="1:8" x14ac:dyDescent="0.3">
      <c r="A80" s="161"/>
      <c r="B80" s="161"/>
      <c r="C80" s="161"/>
      <c r="D80" s="161"/>
      <c r="E80" s="161"/>
      <c r="F80" s="161"/>
      <c r="G80" s="161"/>
      <c r="H80" s="161"/>
    </row>
    <row r="81" spans="1:8" x14ac:dyDescent="0.3">
      <c r="A81" s="161"/>
      <c r="B81" s="161"/>
      <c r="C81" s="161"/>
      <c r="D81" s="161"/>
      <c r="E81" s="161"/>
      <c r="F81" s="161"/>
      <c r="G81" s="161"/>
      <c r="H81" s="161"/>
    </row>
    <row r="82" spans="1:8" x14ac:dyDescent="0.3">
      <c r="A82" s="161"/>
      <c r="B82" s="161"/>
      <c r="C82" s="161"/>
      <c r="D82" s="161"/>
      <c r="E82" s="161"/>
      <c r="F82" s="161"/>
      <c r="G82" s="161"/>
      <c r="H82" s="161"/>
    </row>
    <row r="83" spans="1:8" x14ac:dyDescent="0.3">
      <c r="A83" s="161"/>
      <c r="B83" s="161"/>
      <c r="C83" s="161"/>
      <c r="D83" s="161"/>
      <c r="E83" s="161"/>
      <c r="F83" s="161"/>
      <c r="G83" s="161"/>
      <c r="H83" s="161"/>
    </row>
    <row r="84" spans="1:8" x14ac:dyDescent="0.3">
      <c r="A84" s="161"/>
      <c r="B84" s="161"/>
      <c r="C84" s="161"/>
      <c r="D84" s="161"/>
      <c r="E84" s="161"/>
      <c r="F84" s="161"/>
      <c r="G84" s="161"/>
      <c r="H84" s="161"/>
    </row>
    <row r="85" spans="1:8" x14ac:dyDescent="0.3">
      <c r="A85" s="161"/>
      <c r="B85" s="161"/>
      <c r="C85" s="161"/>
      <c r="D85" s="161"/>
      <c r="E85" s="161"/>
      <c r="F85" s="161"/>
      <c r="G85" s="161"/>
      <c r="H85" s="161"/>
    </row>
    <row r="86" spans="1:8" x14ac:dyDescent="0.3">
      <c r="A86" s="161"/>
      <c r="B86" s="161"/>
      <c r="C86" s="161"/>
      <c r="D86" s="161"/>
      <c r="E86" s="161"/>
      <c r="F86" s="161"/>
      <c r="G86" s="161"/>
      <c r="H86" s="161"/>
    </row>
    <row r="87" spans="1:8" x14ac:dyDescent="0.3">
      <c r="A87" s="161"/>
      <c r="B87" s="161"/>
      <c r="C87" s="161"/>
      <c r="D87" s="161"/>
      <c r="E87" s="161"/>
      <c r="F87" s="161"/>
      <c r="G87" s="161"/>
      <c r="H87" s="161"/>
    </row>
    <row r="88" spans="1:8" x14ac:dyDescent="0.3">
      <c r="A88" s="161"/>
      <c r="B88" s="161"/>
      <c r="C88" s="161"/>
      <c r="D88" s="161"/>
      <c r="E88" s="161"/>
      <c r="F88" s="161"/>
      <c r="G88" s="161"/>
      <c r="H88" s="161"/>
    </row>
    <row r="89" spans="1:8" x14ac:dyDescent="0.3">
      <c r="A89" s="161"/>
      <c r="B89" s="161"/>
      <c r="C89" s="161"/>
      <c r="D89" s="161"/>
      <c r="E89" s="161"/>
      <c r="F89" s="161"/>
      <c r="G89" s="161"/>
      <c r="H89" s="161"/>
    </row>
    <row r="90" spans="1:8" x14ac:dyDescent="0.3">
      <c r="A90" s="161"/>
      <c r="B90" s="161"/>
      <c r="C90" s="161"/>
      <c r="D90" s="161"/>
      <c r="E90" s="161"/>
      <c r="F90" s="161"/>
      <c r="G90" s="161"/>
      <c r="H90" s="161"/>
    </row>
    <row r="91" spans="1:8" x14ac:dyDescent="0.3">
      <c r="A91" s="161"/>
      <c r="B91" s="161"/>
      <c r="C91" s="161"/>
      <c r="D91" s="161"/>
      <c r="E91" s="161"/>
      <c r="F91" s="161"/>
      <c r="G91" s="161"/>
      <c r="H91" s="161"/>
    </row>
    <row r="92" spans="1:8" x14ac:dyDescent="0.3">
      <c r="A92" s="161"/>
      <c r="B92" s="161"/>
      <c r="C92" s="161"/>
      <c r="D92" s="161"/>
      <c r="E92" s="161"/>
      <c r="F92" s="161"/>
      <c r="G92" s="161"/>
      <c r="H92" s="161"/>
    </row>
    <row r="93" spans="1:8" x14ac:dyDescent="0.3">
      <c r="A93" s="161"/>
      <c r="B93" s="161"/>
      <c r="C93" s="161"/>
      <c r="D93" s="161"/>
      <c r="E93" s="161"/>
      <c r="F93" s="161"/>
      <c r="G93" s="161"/>
      <c r="H93" s="161"/>
    </row>
    <row r="94" spans="1:8" x14ac:dyDescent="0.3">
      <c r="A94" s="161"/>
      <c r="B94" s="161"/>
      <c r="C94" s="161"/>
      <c r="D94" s="161"/>
      <c r="E94" s="161"/>
      <c r="F94" s="161"/>
      <c r="G94" s="161"/>
      <c r="H94" s="161"/>
    </row>
    <row r="95" spans="1:8" x14ac:dyDescent="0.3">
      <c r="A95" s="161"/>
      <c r="B95" s="161"/>
      <c r="C95" s="161"/>
      <c r="D95" s="161"/>
      <c r="E95" s="161"/>
      <c r="F95" s="161"/>
      <c r="G95" s="161"/>
      <c r="H95" s="161"/>
    </row>
    <row r="96" spans="1:8" x14ac:dyDescent="0.3">
      <c r="A96" s="161"/>
      <c r="B96" s="161"/>
      <c r="C96" s="161"/>
      <c r="D96" s="161"/>
      <c r="E96" s="161"/>
      <c r="F96" s="161"/>
      <c r="G96" s="161"/>
      <c r="H96" s="161"/>
    </row>
    <row r="97" spans="1:8" x14ac:dyDescent="0.3">
      <c r="A97" s="161"/>
      <c r="B97" s="161"/>
      <c r="C97" s="161"/>
      <c r="D97" s="161"/>
      <c r="E97" s="161"/>
      <c r="F97" s="161"/>
      <c r="G97" s="161"/>
      <c r="H97" s="161"/>
    </row>
    <row r="98" spans="1:8" x14ac:dyDescent="0.3">
      <c r="A98" s="161"/>
      <c r="B98" s="161"/>
      <c r="C98" s="161"/>
      <c r="D98" s="161"/>
      <c r="E98" s="161"/>
      <c r="F98" s="161"/>
      <c r="G98" s="161"/>
      <c r="H98" s="161"/>
    </row>
    <row r="99" spans="1:8" x14ac:dyDescent="0.3">
      <c r="A99" s="161"/>
      <c r="B99" s="161"/>
      <c r="C99" s="161"/>
      <c r="D99" s="161"/>
      <c r="E99" s="161"/>
      <c r="F99" s="161"/>
      <c r="G99" s="161"/>
      <c r="H99" s="161"/>
    </row>
    <row r="100" spans="1:8" x14ac:dyDescent="0.3">
      <c r="A100" s="161"/>
      <c r="B100" s="161"/>
      <c r="C100" s="161"/>
      <c r="D100" s="161"/>
      <c r="E100" s="161"/>
      <c r="F100" s="161"/>
      <c r="G100" s="161"/>
      <c r="H100" s="161"/>
    </row>
    <row r="101" spans="1:8" x14ac:dyDescent="0.3">
      <c r="A101" s="161"/>
      <c r="B101" s="161"/>
      <c r="C101" s="161"/>
      <c r="D101" s="161"/>
      <c r="E101" s="161"/>
      <c r="F101" s="161"/>
      <c r="G101" s="161"/>
      <c r="H101" s="161"/>
    </row>
    <row r="102" spans="1:8" x14ac:dyDescent="0.3">
      <c r="A102" s="161"/>
      <c r="B102" s="161"/>
      <c r="C102" s="161"/>
      <c r="D102" s="161"/>
      <c r="E102" s="161"/>
      <c r="F102" s="161"/>
      <c r="G102" s="161"/>
      <c r="H102" s="161"/>
    </row>
    <row r="103" spans="1:8" x14ac:dyDescent="0.3">
      <c r="A103" s="161"/>
      <c r="B103" s="161"/>
      <c r="C103" s="161"/>
      <c r="D103" s="161"/>
      <c r="E103" s="161"/>
      <c r="F103" s="161"/>
      <c r="G103" s="161"/>
      <c r="H103" s="161"/>
    </row>
    <row r="104" spans="1:8" x14ac:dyDescent="0.3">
      <c r="A104" s="161"/>
      <c r="B104" s="161"/>
      <c r="C104" s="161"/>
      <c r="D104" s="161"/>
      <c r="E104" s="161"/>
      <c r="F104" s="161"/>
      <c r="G104" s="161"/>
      <c r="H104" s="161"/>
    </row>
    <row r="105" spans="1:8" x14ac:dyDescent="0.3">
      <c r="A105" s="161"/>
      <c r="B105" s="161"/>
      <c r="C105" s="161"/>
      <c r="D105" s="161"/>
      <c r="E105" s="161"/>
      <c r="F105" s="161"/>
      <c r="G105" s="161"/>
      <c r="H105" s="161"/>
    </row>
    <row r="106" spans="1:8" x14ac:dyDescent="0.3">
      <c r="A106" s="161"/>
      <c r="B106" s="161"/>
      <c r="C106" s="161"/>
      <c r="D106" s="161"/>
      <c r="E106" s="161"/>
      <c r="F106" s="161"/>
      <c r="G106" s="161"/>
      <c r="H106" s="161"/>
    </row>
    <row r="107" spans="1:8" x14ac:dyDescent="0.3">
      <c r="A107" s="161"/>
      <c r="B107" s="161"/>
      <c r="C107" s="161"/>
      <c r="D107" s="161"/>
      <c r="E107" s="161"/>
      <c r="F107" s="161"/>
      <c r="G107" s="161"/>
      <c r="H107" s="161"/>
    </row>
    <row r="108" spans="1:8" x14ac:dyDescent="0.3">
      <c r="A108" s="161"/>
      <c r="B108" s="161"/>
      <c r="C108" s="161"/>
      <c r="D108" s="161"/>
      <c r="E108" s="161"/>
      <c r="F108" s="161"/>
      <c r="G108" s="161"/>
      <c r="H108" s="161"/>
    </row>
    <row r="109" spans="1:8" x14ac:dyDescent="0.3">
      <c r="A109" s="161"/>
      <c r="B109" s="161"/>
      <c r="C109" s="161"/>
      <c r="D109" s="161"/>
      <c r="E109" s="161"/>
      <c r="F109" s="161"/>
      <c r="G109" s="161"/>
      <c r="H109" s="161"/>
    </row>
    <row r="110" spans="1:8" x14ac:dyDescent="0.3">
      <c r="A110" s="161"/>
      <c r="B110" s="161"/>
      <c r="C110" s="161"/>
      <c r="D110" s="161"/>
      <c r="E110" s="161"/>
      <c r="F110" s="161"/>
      <c r="G110" s="161"/>
      <c r="H110" s="161"/>
    </row>
    <row r="111" spans="1:8" x14ac:dyDescent="0.3">
      <c r="A111" s="161"/>
      <c r="B111" s="161"/>
      <c r="C111" s="161"/>
      <c r="D111" s="161"/>
      <c r="E111" s="161"/>
      <c r="F111" s="161"/>
      <c r="G111" s="161"/>
      <c r="H111" s="161"/>
    </row>
    <row r="112" spans="1:8" x14ac:dyDescent="0.3">
      <c r="A112" s="161"/>
      <c r="B112" s="161"/>
      <c r="C112" s="161"/>
      <c r="D112" s="161"/>
      <c r="E112" s="161"/>
      <c r="F112" s="161"/>
      <c r="G112" s="161"/>
      <c r="H112" s="161"/>
    </row>
    <row r="113" spans="1:8" x14ac:dyDescent="0.3">
      <c r="A113" s="161"/>
      <c r="B113" s="161"/>
      <c r="C113" s="161"/>
      <c r="D113" s="161"/>
      <c r="E113" s="161"/>
      <c r="F113" s="161"/>
      <c r="G113" s="161"/>
      <c r="H113" s="161"/>
    </row>
    <row r="114" spans="1:8" x14ac:dyDescent="0.3">
      <c r="A114" s="161"/>
      <c r="B114" s="161"/>
      <c r="C114" s="161"/>
      <c r="D114" s="161"/>
      <c r="E114" s="161"/>
      <c r="F114" s="161"/>
      <c r="G114" s="161"/>
      <c r="H114" s="161"/>
    </row>
    <row r="115" spans="1:8" x14ac:dyDescent="0.3">
      <c r="A115" s="161"/>
      <c r="B115" s="161"/>
      <c r="C115" s="161"/>
      <c r="D115" s="161"/>
      <c r="E115" s="161"/>
      <c r="F115" s="161"/>
      <c r="G115" s="161"/>
      <c r="H115" s="161"/>
    </row>
    <row r="116" spans="1:8" x14ac:dyDescent="0.3">
      <c r="A116" s="161"/>
      <c r="B116" s="161"/>
      <c r="C116" s="161"/>
      <c r="D116" s="161"/>
      <c r="E116" s="161"/>
      <c r="F116" s="161"/>
      <c r="G116" s="161"/>
      <c r="H116" s="161"/>
    </row>
    <row r="117" spans="1:8" x14ac:dyDescent="0.3">
      <c r="A117" s="161"/>
      <c r="B117" s="161"/>
      <c r="C117" s="161"/>
      <c r="D117" s="161"/>
      <c r="E117" s="161"/>
      <c r="F117" s="161"/>
      <c r="G117" s="161"/>
      <c r="H117" s="161"/>
    </row>
    <row r="118" spans="1:8" x14ac:dyDescent="0.3">
      <c r="A118" s="161"/>
      <c r="B118" s="161"/>
      <c r="C118" s="161"/>
      <c r="D118" s="161"/>
      <c r="E118" s="161"/>
      <c r="F118" s="161"/>
      <c r="G118" s="161"/>
      <c r="H118" s="161"/>
    </row>
    <row r="119" spans="1:8" x14ac:dyDescent="0.3">
      <c r="A119" s="161"/>
      <c r="B119" s="161"/>
      <c r="C119" s="161"/>
      <c r="D119" s="161"/>
      <c r="E119" s="161"/>
      <c r="F119" s="161"/>
      <c r="G119" s="161"/>
      <c r="H119" s="161"/>
    </row>
    <row r="120" spans="1:8" x14ac:dyDescent="0.3">
      <c r="A120" s="161"/>
      <c r="B120" s="161"/>
      <c r="C120" s="161"/>
      <c r="D120" s="161"/>
      <c r="E120" s="161"/>
      <c r="F120" s="161"/>
      <c r="G120" s="161"/>
      <c r="H120" s="161"/>
    </row>
    <row r="121" spans="1:8" x14ac:dyDescent="0.3">
      <c r="A121" s="161"/>
      <c r="B121" s="161"/>
      <c r="C121" s="161"/>
      <c r="D121" s="161"/>
      <c r="E121" s="161"/>
      <c r="F121" s="161"/>
      <c r="G121" s="161"/>
      <c r="H121" s="161"/>
    </row>
    <row r="122" spans="1:8" x14ac:dyDescent="0.3">
      <c r="A122" s="161"/>
      <c r="B122" s="161"/>
      <c r="C122" s="161"/>
      <c r="D122" s="161"/>
      <c r="E122" s="161"/>
      <c r="F122" s="161"/>
      <c r="G122" s="161"/>
      <c r="H122" s="161"/>
    </row>
    <row r="123" spans="1:8" x14ac:dyDescent="0.3">
      <c r="A123" s="161"/>
      <c r="B123" s="161"/>
      <c r="C123" s="161"/>
      <c r="D123" s="161"/>
      <c r="E123" s="161"/>
      <c r="F123" s="161"/>
      <c r="G123" s="161"/>
      <c r="H123" s="161"/>
    </row>
    <row r="124" spans="1:8" x14ac:dyDescent="0.3">
      <c r="A124" s="161"/>
      <c r="B124" s="161"/>
      <c r="C124" s="161"/>
      <c r="D124" s="161"/>
      <c r="E124" s="161"/>
      <c r="F124" s="161"/>
      <c r="G124" s="161"/>
      <c r="H124" s="161"/>
    </row>
    <row r="125" spans="1:8" x14ac:dyDescent="0.3">
      <c r="A125" s="161"/>
      <c r="B125" s="161"/>
      <c r="C125" s="161"/>
      <c r="D125" s="161"/>
      <c r="E125" s="161"/>
      <c r="F125" s="161"/>
      <c r="G125" s="161"/>
      <c r="H125" s="161"/>
    </row>
    <row r="126" spans="1:8" x14ac:dyDescent="0.3">
      <c r="A126" s="161"/>
      <c r="B126" s="161"/>
      <c r="C126" s="161"/>
      <c r="D126" s="161"/>
      <c r="E126" s="161"/>
      <c r="F126" s="161"/>
      <c r="G126" s="161"/>
      <c r="H126" s="161"/>
    </row>
    <row r="127" spans="1:8" x14ac:dyDescent="0.3">
      <c r="A127" s="161"/>
      <c r="B127" s="161"/>
      <c r="C127" s="161"/>
      <c r="D127" s="161"/>
      <c r="E127" s="161"/>
      <c r="F127" s="161"/>
      <c r="G127" s="161"/>
      <c r="H127" s="161"/>
    </row>
    <row r="128" spans="1:8" x14ac:dyDescent="0.3">
      <c r="A128" s="161"/>
      <c r="B128" s="161"/>
      <c r="C128" s="161"/>
      <c r="D128" s="161"/>
      <c r="E128" s="161"/>
      <c r="F128" s="161"/>
      <c r="G128" s="161"/>
      <c r="H128" s="161"/>
    </row>
    <row r="129" spans="1:8" x14ac:dyDescent="0.3">
      <c r="A129" s="161"/>
      <c r="B129" s="161"/>
      <c r="C129" s="161"/>
      <c r="D129" s="161"/>
      <c r="E129" s="161"/>
      <c r="F129" s="161"/>
      <c r="G129" s="161"/>
      <c r="H129" s="161"/>
    </row>
    <row r="130" spans="1:8" x14ac:dyDescent="0.3">
      <c r="A130" s="161"/>
      <c r="B130" s="161"/>
      <c r="C130" s="161"/>
      <c r="D130" s="161"/>
      <c r="E130" s="161"/>
      <c r="F130" s="161"/>
      <c r="G130" s="161"/>
      <c r="H130" s="161"/>
    </row>
    <row r="131" spans="1:8" x14ac:dyDescent="0.3">
      <c r="A131" s="161"/>
      <c r="B131" s="161"/>
      <c r="C131" s="161"/>
      <c r="D131" s="161"/>
      <c r="E131" s="161"/>
      <c r="F131" s="161"/>
      <c r="G131" s="161"/>
      <c r="H131" s="161"/>
    </row>
    <row r="132" spans="1:8" x14ac:dyDescent="0.3">
      <c r="A132" s="161"/>
      <c r="B132" s="161"/>
      <c r="C132" s="161"/>
      <c r="D132" s="161"/>
      <c r="E132" s="161"/>
      <c r="F132" s="161"/>
      <c r="G132" s="161"/>
      <c r="H132" s="161"/>
    </row>
    <row r="133" spans="1:8" x14ac:dyDescent="0.3">
      <c r="A133" s="161"/>
      <c r="B133" s="161"/>
      <c r="C133" s="161"/>
      <c r="D133" s="161"/>
      <c r="E133" s="161"/>
      <c r="F133" s="161"/>
      <c r="G133" s="161"/>
      <c r="H133" s="161"/>
    </row>
    <row r="134" spans="1:8" x14ac:dyDescent="0.3">
      <c r="A134" s="161"/>
      <c r="B134" s="161"/>
      <c r="C134" s="161"/>
      <c r="D134" s="161"/>
      <c r="E134" s="161"/>
      <c r="F134" s="161"/>
      <c r="G134" s="161"/>
      <c r="H134" s="161"/>
    </row>
    <row r="135" spans="1:8" x14ac:dyDescent="0.3">
      <c r="A135" s="161"/>
      <c r="B135" s="161"/>
      <c r="C135" s="161"/>
      <c r="D135" s="161"/>
      <c r="E135" s="161"/>
      <c r="F135" s="161"/>
      <c r="G135" s="161"/>
      <c r="H135" s="161"/>
    </row>
    <row r="136" spans="1:8" x14ac:dyDescent="0.3">
      <c r="A136" s="161"/>
      <c r="B136" s="161"/>
      <c r="C136" s="161"/>
      <c r="D136" s="161"/>
      <c r="E136" s="161"/>
      <c r="F136" s="161"/>
      <c r="G136" s="161"/>
      <c r="H136" s="161"/>
    </row>
    <row r="137" spans="1:8" x14ac:dyDescent="0.3">
      <c r="A137" s="161"/>
      <c r="B137" s="161"/>
      <c r="C137" s="161"/>
      <c r="D137" s="161"/>
      <c r="E137" s="161"/>
      <c r="F137" s="161"/>
      <c r="G137" s="161"/>
      <c r="H137" s="161"/>
    </row>
    <row r="138" spans="1:8" x14ac:dyDescent="0.3">
      <c r="A138" s="161"/>
      <c r="B138" s="161"/>
      <c r="C138" s="161"/>
      <c r="D138" s="161"/>
      <c r="E138" s="161"/>
      <c r="F138" s="161"/>
      <c r="G138" s="161"/>
      <c r="H138" s="161"/>
    </row>
    <row r="139" spans="1:8" x14ac:dyDescent="0.3">
      <c r="A139" s="161"/>
      <c r="B139" s="161"/>
      <c r="C139" s="161"/>
      <c r="D139" s="161"/>
      <c r="E139" s="161"/>
      <c r="F139" s="161"/>
      <c r="G139" s="161"/>
      <c r="H139" s="161"/>
    </row>
    <row r="140" spans="1:8" x14ac:dyDescent="0.3">
      <c r="A140" s="161"/>
      <c r="B140" s="161"/>
      <c r="C140" s="161"/>
      <c r="D140" s="161"/>
      <c r="E140" s="161"/>
      <c r="F140" s="161"/>
      <c r="G140" s="161"/>
      <c r="H140" s="161"/>
    </row>
    <row r="141" spans="1:8" x14ac:dyDescent="0.3">
      <c r="A141" s="161"/>
      <c r="B141" s="161"/>
      <c r="C141" s="161"/>
      <c r="D141" s="161"/>
      <c r="E141" s="161"/>
      <c r="F141" s="161"/>
      <c r="G141" s="161"/>
      <c r="H141" s="161"/>
    </row>
    <row r="142" spans="1:8" x14ac:dyDescent="0.3">
      <c r="A142" s="161"/>
      <c r="B142" s="161"/>
      <c r="C142" s="161"/>
      <c r="D142" s="161"/>
      <c r="E142" s="161"/>
      <c r="F142" s="161"/>
      <c r="G142" s="161"/>
      <c r="H142" s="161"/>
    </row>
    <row r="143" spans="1:8" x14ac:dyDescent="0.3">
      <c r="A143" s="161"/>
      <c r="B143" s="161"/>
      <c r="C143" s="161"/>
      <c r="D143" s="161"/>
      <c r="E143" s="161"/>
      <c r="F143" s="161"/>
      <c r="G143" s="161"/>
      <c r="H143" s="161"/>
    </row>
    <row r="144" spans="1:8" x14ac:dyDescent="0.3">
      <c r="A144" s="161"/>
      <c r="B144" s="161"/>
      <c r="C144" s="161"/>
      <c r="D144" s="161"/>
      <c r="E144" s="161"/>
      <c r="F144" s="161"/>
      <c r="G144" s="161"/>
      <c r="H144" s="161"/>
    </row>
    <row r="145" spans="1:8" x14ac:dyDescent="0.3">
      <c r="A145" s="161"/>
      <c r="B145" s="161"/>
      <c r="C145" s="161"/>
      <c r="D145" s="161"/>
      <c r="E145" s="161"/>
      <c r="F145" s="161"/>
      <c r="G145" s="161"/>
      <c r="H145" s="161"/>
    </row>
    <row r="146" spans="1:8" x14ac:dyDescent="0.3">
      <c r="A146" s="161"/>
      <c r="B146" s="161"/>
      <c r="C146" s="161"/>
      <c r="D146" s="161"/>
      <c r="E146" s="161"/>
      <c r="F146" s="161"/>
      <c r="G146" s="161"/>
      <c r="H146" s="161"/>
    </row>
    <row r="147" spans="1:8" x14ac:dyDescent="0.3">
      <c r="A147" s="161"/>
      <c r="B147" s="161"/>
      <c r="C147" s="161"/>
      <c r="D147" s="161"/>
      <c r="E147" s="161"/>
      <c r="F147" s="161"/>
      <c r="G147" s="161"/>
      <c r="H147" s="161"/>
    </row>
    <row r="148" spans="1:8" x14ac:dyDescent="0.3">
      <c r="A148" s="161"/>
      <c r="B148" s="161"/>
      <c r="C148" s="161"/>
      <c r="D148" s="161"/>
      <c r="E148" s="161"/>
      <c r="F148" s="161"/>
      <c r="G148" s="161"/>
      <c r="H148" s="161"/>
    </row>
    <row r="149" spans="1:8" x14ac:dyDescent="0.3">
      <c r="A149" s="161"/>
      <c r="B149" s="161"/>
      <c r="C149" s="161"/>
      <c r="D149" s="161"/>
      <c r="E149" s="161"/>
      <c r="F149" s="161"/>
      <c r="G149" s="161"/>
      <c r="H149" s="161"/>
    </row>
    <row r="150" spans="1:8" x14ac:dyDescent="0.3">
      <c r="A150" s="161"/>
      <c r="B150" s="161"/>
      <c r="C150" s="161"/>
      <c r="D150" s="161"/>
      <c r="E150" s="161"/>
      <c r="F150" s="161"/>
      <c r="G150" s="161"/>
      <c r="H150" s="161"/>
    </row>
    <row r="151" spans="1:8" x14ac:dyDescent="0.3">
      <c r="A151" s="161"/>
      <c r="B151" s="161"/>
      <c r="C151" s="161"/>
      <c r="D151" s="161"/>
      <c r="E151" s="161"/>
      <c r="F151" s="161"/>
      <c r="G151" s="161"/>
      <c r="H151" s="161"/>
    </row>
    <row r="152" spans="1:8" x14ac:dyDescent="0.3">
      <c r="A152" s="161"/>
      <c r="B152" s="161"/>
      <c r="C152" s="161"/>
      <c r="D152" s="161"/>
      <c r="E152" s="161"/>
      <c r="F152" s="161"/>
      <c r="G152" s="161"/>
      <c r="H152" s="161"/>
    </row>
    <row r="153" spans="1:8" x14ac:dyDescent="0.3">
      <c r="A153" s="161"/>
      <c r="B153" s="161"/>
      <c r="C153" s="161"/>
      <c r="D153" s="161"/>
      <c r="E153" s="161"/>
      <c r="F153" s="161"/>
      <c r="G153" s="161"/>
      <c r="H153" s="161"/>
    </row>
    <row r="154" spans="1:8" x14ac:dyDescent="0.3">
      <c r="A154" s="161"/>
      <c r="B154" s="161"/>
      <c r="C154" s="161"/>
      <c r="D154" s="161"/>
      <c r="E154" s="161"/>
      <c r="F154" s="161"/>
      <c r="G154" s="161"/>
      <c r="H154" s="161"/>
    </row>
    <row r="155" spans="1:8" x14ac:dyDescent="0.3">
      <c r="A155" s="161"/>
      <c r="B155" s="161"/>
      <c r="C155" s="161"/>
      <c r="D155" s="161"/>
      <c r="E155" s="161"/>
      <c r="F155" s="161"/>
      <c r="G155" s="161"/>
      <c r="H155" s="161"/>
    </row>
    <row r="156" spans="1:8" x14ac:dyDescent="0.3">
      <c r="A156" s="161"/>
      <c r="B156" s="161"/>
      <c r="C156" s="161"/>
      <c r="D156" s="161"/>
      <c r="E156" s="161"/>
      <c r="F156" s="161"/>
      <c r="G156" s="161"/>
      <c r="H156" s="161"/>
    </row>
    <row r="157" spans="1:8" x14ac:dyDescent="0.3">
      <c r="A157" s="161"/>
      <c r="B157" s="161"/>
      <c r="C157" s="161"/>
      <c r="D157" s="161"/>
      <c r="E157" s="161"/>
      <c r="F157" s="161"/>
      <c r="G157" s="161"/>
      <c r="H157" s="161"/>
    </row>
    <row r="158" spans="1:8" x14ac:dyDescent="0.3">
      <c r="A158" s="161"/>
      <c r="B158" s="161"/>
      <c r="C158" s="161"/>
      <c r="D158" s="161"/>
      <c r="E158" s="161"/>
      <c r="F158" s="161"/>
      <c r="G158" s="161"/>
      <c r="H158" s="161"/>
    </row>
    <row r="159" spans="1:8" x14ac:dyDescent="0.3">
      <c r="A159" s="161"/>
      <c r="B159" s="161"/>
      <c r="C159" s="161"/>
      <c r="D159" s="161"/>
      <c r="E159" s="161"/>
      <c r="F159" s="161"/>
      <c r="G159" s="161"/>
      <c r="H159" s="161"/>
    </row>
    <row r="160" spans="1:8" x14ac:dyDescent="0.3">
      <c r="A160" s="161"/>
      <c r="B160" s="161"/>
      <c r="C160" s="161"/>
      <c r="D160" s="161"/>
      <c r="E160" s="161"/>
      <c r="F160" s="161"/>
      <c r="G160" s="161"/>
      <c r="H160" s="161"/>
    </row>
    <row r="161" spans="1:8" x14ac:dyDescent="0.3">
      <c r="A161" s="161"/>
      <c r="B161" s="161"/>
      <c r="C161" s="161"/>
      <c r="D161" s="161"/>
      <c r="E161" s="161"/>
      <c r="F161" s="161"/>
      <c r="G161" s="161"/>
      <c r="H161" s="161"/>
    </row>
    <row r="162" spans="1:8" x14ac:dyDescent="0.3">
      <c r="A162" s="161"/>
      <c r="B162" s="161"/>
      <c r="C162" s="161"/>
      <c r="D162" s="161"/>
      <c r="E162" s="161"/>
      <c r="F162" s="161"/>
      <c r="G162" s="161"/>
      <c r="H162" s="161"/>
    </row>
    <row r="163" spans="1:8" x14ac:dyDescent="0.3">
      <c r="A163" s="161"/>
      <c r="B163" s="161"/>
      <c r="C163" s="161"/>
      <c r="D163" s="161"/>
      <c r="E163" s="161"/>
      <c r="F163" s="161"/>
      <c r="G163" s="161"/>
      <c r="H163" s="161"/>
    </row>
    <row r="164" spans="1:8" x14ac:dyDescent="0.3">
      <c r="A164" s="161"/>
      <c r="B164" s="161"/>
      <c r="C164" s="161"/>
      <c r="D164" s="161"/>
      <c r="E164" s="161"/>
      <c r="F164" s="161"/>
      <c r="G164" s="161"/>
      <c r="H164" s="161"/>
    </row>
    <row r="165" spans="1:8" x14ac:dyDescent="0.3">
      <c r="A165" s="161"/>
      <c r="B165" s="161"/>
      <c r="C165" s="161"/>
      <c r="D165" s="161"/>
      <c r="E165" s="161"/>
      <c r="F165" s="161"/>
      <c r="G165" s="161"/>
      <c r="H165" s="161"/>
    </row>
    <row r="166" spans="1:8" x14ac:dyDescent="0.3">
      <c r="A166" s="161"/>
      <c r="B166" s="161"/>
      <c r="C166" s="161"/>
      <c r="D166" s="161"/>
      <c r="E166" s="161"/>
      <c r="F166" s="161"/>
      <c r="G166" s="161"/>
      <c r="H166" s="161"/>
    </row>
    <row r="167" spans="1:8" x14ac:dyDescent="0.3">
      <c r="A167" s="161"/>
      <c r="B167" s="161"/>
      <c r="C167" s="161"/>
      <c r="D167" s="161"/>
      <c r="E167" s="161"/>
      <c r="F167" s="161"/>
      <c r="G167" s="161"/>
      <c r="H167" s="161"/>
    </row>
    <row r="168" spans="1:8" x14ac:dyDescent="0.3">
      <c r="A168" s="161"/>
      <c r="B168" s="161"/>
      <c r="C168" s="161"/>
      <c r="D168" s="161"/>
      <c r="E168" s="161"/>
      <c r="F168" s="161"/>
      <c r="G168" s="161"/>
      <c r="H168" s="161"/>
    </row>
    <row r="169" spans="1:8" x14ac:dyDescent="0.3">
      <c r="A169" s="161"/>
      <c r="B169" s="161"/>
      <c r="C169" s="161"/>
      <c r="D169" s="161"/>
      <c r="E169" s="161"/>
      <c r="F169" s="161"/>
      <c r="G169" s="161"/>
      <c r="H169" s="161"/>
    </row>
    <row r="170" spans="1:8" x14ac:dyDescent="0.3">
      <c r="A170" s="161"/>
      <c r="B170" s="161"/>
      <c r="C170" s="161"/>
      <c r="D170" s="161"/>
      <c r="E170" s="161"/>
      <c r="F170" s="161"/>
      <c r="G170" s="161"/>
      <c r="H170" s="161"/>
    </row>
    <row r="171" spans="1:8" x14ac:dyDescent="0.3">
      <c r="A171" s="161"/>
      <c r="B171" s="161"/>
      <c r="C171" s="161"/>
      <c r="D171" s="161"/>
      <c r="E171" s="161"/>
      <c r="F171" s="161"/>
      <c r="G171" s="161"/>
      <c r="H171" s="161"/>
    </row>
    <row r="172" spans="1:8" x14ac:dyDescent="0.3">
      <c r="A172" s="161"/>
      <c r="B172" s="161"/>
      <c r="C172" s="161"/>
      <c r="D172" s="161"/>
      <c r="E172" s="161"/>
      <c r="F172" s="161"/>
      <c r="G172" s="161"/>
      <c r="H172" s="161"/>
    </row>
    <row r="173" spans="1:8" x14ac:dyDescent="0.3">
      <c r="A173" s="161"/>
      <c r="B173" s="161"/>
      <c r="C173" s="161"/>
      <c r="D173" s="161"/>
      <c r="E173" s="161"/>
      <c r="F173" s="161"/>
      <c r="G173" s="161"/>
      <c r="H173" s="161"/>
    </row>
    <row r="174" spans="1:8" x14ac:dyDescent="0.3">
      <c r="A174" s="161"/>
      <c r="B174" s="161"/>
      <c r="C174" s="161"/>
      <c r="D174" s="161"/>
      <c r="E174" s="161"/>
      <c r="F174" s="161"/>
      <c r="G174" s="161"/>
      <c r="H174" s="161"/>
    </row>
    <row r="175" spans="1:8" x14ac:dyDescent="0.3">
      <c r="A175" s="161"/>
      <c r="B175" s="161"/>
      <c r="C175" s="161"/>
      <c r="D175" s="161"/>
      <c r="E175" s="161"/>
      <c r="F175" s="161"/>
      <c r="G175" s="161"/>
      <c r="H175" s="161"/>
    </row>
    <row r="176" spans="1:8" x14ac:dyDescent="0.3">
      <c r="A176" s="161"/>
      <c r="B176" s="161"/>
      <c r="C176" s="161"/>
      <c r="D176" s="161"/>
      <c r="E176" s="161"/>
      <c r="F176" s="161"/>
      <c r="G176" s="161"/>
      <c r="H176" s="161"/>
    </row>
    <row r="177" spans="1:8" x14ac:dyDescent="0.3">
      <c r="A177" s="161"/>
      <c r="B177" s="161"/>
      <c r="C177" s="161"/>
      <c r="D177" s="161"/>
      <c r="E177" s="161"/>
      <c r="F177" s="161"/>
      <c r="G177" s="161"/>
      <c r="H177" s="161"/>
    </row>
    <row r="178" spans="1:8" x14ac:dyDescent="0.3">
      <c r="A178" s="161"/>
      <c r="B178" s="161"/>
      <c r="C178" s="161"/>
      <c r="D178" s="161"/>
      <c r="E178" s="161"/>
      <c r="F178" s="161"/>
      <c r="G178" s="161"/>
      <c r="H178" s="161"/>
    </row>
  </sheetData>
  <pageMargins left="0.7" right="0.7" top="0.75" bottom="0.75" header="0.3" footer="0.3"/>
  <pageSetup paperSize="9" scale="69" fitToHeight="0" orientation="landscape"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5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40.109375" style="311" customWidth="1"/>
    <col min="3" max="3" width="28.10937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2.88671875" style="311" customWidth="1"/>
    <col min="8" max="8" width="13.88671875" style="311" bestFit="1" customWidth="1"/>
    <col min="9" max="9" width="18.33203125" style="31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8.33203125" style="31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394" t="s">
        <v>523</v>
      </c>
      <c r="B1" s="311" t="s">
        <v>524</v>
      </c>
      <c r="J1" s="343" t="s">
        <v>528</v>
      </c>
      <c r="K1" s="163">
        <v>81</v>
      </c>
      <c r="M1" s="394" t="s">
        <v>546</v>
      </c>
      <c r="N1" s="424">
        <f>N13+I19+J24</f>
        <v>50.372800000000005</v>
      </c>
    </row>
    <row r="2" spans="1:14" x14ac:dyDescent="0.3">
      <c r="A2" s="394" t="s">
        <v>532</v>
      </c>
      <c r="B2" s="311" t="s">
        <v>780</v>
      </c>
      <c r="D2" s="394" t="s">
        <v>536</v>
      </c>
      <c r="M2" s="394" t="s">
        <v>533</v>
      </c>
      <c r="N2" s="425">
        <v>1</v>
      </c>
    </row>
    <row r="3" spans="1:14" x14ac:dyDescent="0.3">
      <c r="A3" s="394" t="s">
        <v>534</v>
      </c>
      <c r="B3" s="311" t="s">
        <v>1134</v>
      </c>
      <c r="D3" s="394" t="s">
        <v>538</v>
      </c>
      <c r="J3" s="394" t="s">
        <v>536</v>
      </c>
    </row>
    <row r="4" spans="1:14" x14ac:dyDescent="0.3">
      <c r="A4" s="394" t="s">
        <v>545</v>
      </c>
      <c r="B4" s="166" t="s">
        <v>1136</v>
      </c>
      <c r="D4" s="394" t="s">
        <v>541</v>
      </c>
      <c r="J4" s="394" t="s">
        <v>538</v>
      </c>
      <c r="M4" s="394" t="s">
        <v>539</v>
      </c>
      <c r="N4" s="424">
        <f>N1*N2</f>
        <v>50.372800000000005</v>
      </c>
    </row>
    <row r="5" spans="1:14" x14ac:dyDescent="0.3">
      <c r="A5" s="394" t="s">
        <v>537</v>
      </c>
      <c r="B5" s="166" t="s">
        <v>151</v>
      </c>
      <c r="J5" s="394" t="s">
        <v>541</v>
      </c>
    </row>
    <row r="6" spans="1:14" x14ac:dyDescent="0.3">
      <c r="A6" s="394" t="s">
        <v>540</v>
      </c>
      <c r="B6" s="311" t="s">
        <v>36</v>
      </c>
    </row>
    <row r="7" spans="1:14" x14ac:dyDescent="0.3">
      <c r="A7" s="394" t="s">
        <v>542</v>
      </c>
    </row>
    <row r="9" spans="1:14" s="432" customFormat="1" x14ac:dyDescent="0.3">
      <c r="A9" s="450" t="s">
        <v>544</v>
      </c>
      <c r="B9" s="450" t="s">
        <v>581</v>
      </c>
      <c r="C9" s="450" t="s">
        <v>549</v>
      </c>
      <c r="D9" s="450" t="s">
        <v>550</v>
      </c>
      <c r="E9" s="450" t="s">
        <v>567</v>
      </c>
      <c r="F9" s="450" t="s">
        <v>568</v>
      </c>
      <c r="G9" s="450" t="s">
        <v>569</v>
      </c>
      <c r="H9" s="450" t="s">
        <v>570</v>
      </c>
      <c r="I9" s="450" t="s">
        <v>582</v>
      </c>
      <c r="J9" s="450" t="s">
        <v>583</v>
      </c>
      <c r="K9" s="450" t="s">
        <v>584</v>
      </c>
      <c r="L9" s="450" t="s">
        <v>585</v>
      </c>
      <c r="M9" s="450" t="s">
        <v>28</v>
      </c>
      <c r="N9" s="450" t="s">
        <v>547</v>
      </c>
    </row>
    <row r="10" spans="1:14" x14ac:dyDescent="0.3">
      <c r="A10" s="183">
        <v>10</v>
      </c>
      <c r="B10" s="451" t="s">
        <v>870</v>
      </c>
      <c r="C10" s="183" t="s">
        <v>1167</v>
      </c>
      <c r="D10" s="241">
        <f>0.41*E10*G10</f>
        <v>5.6374999999999993</v>
      </c>
      <c r="E10" s="183">
        <v>27.5</v>
      </c>
      <c r="F10" s="183" t="s">
        <v>573</v>
      </c>
      <c r="G10" s="183">
        <v>0.5</v>
      </c>
      <c r="H10" s="204" t="s">
        <v>644</v>
      </c>
      <c r="I10" s="205"/>
      <c r="J10" s="430"/>
      <c r="K10" s="204"/>
      <c r="L10" s="204"/>
      <c r="M10" s="183">
        <v>4</v>
      </c>
      <c r="N10" s="385">
        <f>IF(J10="",D10*M10,D10*J10*K10*L10*M10)</f>
        <v>22.549999999999997</v>
      </c>
    </row>
    <row r="11" spans="1:14" x14ac:dyDescent="0.3">
      <c r="A11" s="183">
        <v>20</v>
      </c>
      <c r="B11" s="183" t="s">
        <v>870</v>
      </c>
      <c r="C11" s="183" t="s">
        <v>1168</v>
      </c>
      <c r="D11" s="241">
        <f>0.41*E11*G11</f>
        <v>1.4349999999999998</v>
      </c>
      <c r="E11" s="183">
        <v>7</v>
      </c>
      <c r="F11" s="183" t="s">
        <v>573</v>
      </c>
      <c r="G11" s="183">
        <v>0.5</v>
      </c>
      <c r="H11" s="204" t="s">
        <v>644</v>
      </c>
      <c r="I11" s="205"/>
      <c r="J11" s="430"/>
      <c r="K11" s="204"/>
      <c r="L11" s="204"/>
      <c r="M11" s="183">
        <v>2</v>
      </c>
      <c r="N11" s="385">
        <f>IF(J11="",D11*M11,D11*J11*K11*L11*M11)</f>
        <v>2.8699999999999997</v>
      </c>
    </row>
    <row r="12" spans="1:14" x14ac:dyDescent="0.3">
      <c r="A12" s="183">
        <v>30</v>
      </c>
      <c r="B12" s="190" t="s">
        <v>1169</v>
      </c>
      <c r="C12" s="183"/>
      <c r="D12" s="241">
        <v>4.5</v>
      </c>
      <c r="E12" s="183">
        <v>25</v>
      </c>
      <c r="F12" s="183" t="s">
        <v>573</v>
      </c>
      <c r="G12" s="183"/>
      <c r="H12" s="204"/>
      <c r="I12" s="452"/>
      <c r="J12" s="430"/>
      <c r="K12" s="204"/>
      <c r="L12" s="206"/>
      <c r="M12" s="183">
        <v>3</v>
      </c>
      <c r="N12" s="385">
        <f>IF(J12="",D12*M12,D12*J12*K12*L12*M12)</f>
        <v>13.5</v>
      </c>
    </row>
    <row r="13" spans="1:14" s="432" customFormat="1" x14ac:dyDescent="0.3">
      <c r="M13" s="338" t="s">
        <v>547</v>
      </c>
      <c r="N13" s="453">
        <f>SUM(N10:N12)</f>
        <v>38.92</v>
      </c>
    </row>
    <row r="15" spans="1:14" s="432" customFormat="1" x14ac:dyDescent="0.3">
      <c r="A15" s="450" t="s">
        <v>544</v>
      </c>
      <c r="B15" s="450" t="s">
        <v>548</v>
      </c>
      <c r="C15" s="450" t="s">
        <v>549</v>
      </c>
      <c r="D15" s="450" t="s">
        <v>550</v>
      </c>
      <c r="E15" s="450" t="s">
        <v>551</v>
      </c>
      <c r="F15" s="450" t="s">
        <v>28</v>
      </c>
      <c r="G15" s="450" t="s">
        <v>552</v>
      </c>
      <c r="H15" s="450" t="s">
        <v>553</v>
      </c>
      <c r="I15" s="450" t="s">
        <v>547</v>
      </c>
    </row>
    <row r="16" spans="1:14" x14ac:dyDescent="0.3">
      <c r="A16" s="183">
        <v>10</v>
      </c>
      <c r="B16" s="180" t="s">
        <v>1131</v>
      </c>
      <c r="C16" s="414" t="s">
        <v>1170</v>
      </c>
      <c r="D16" s="241">
        <v>0.06</v>
      </c>
      <c r="E16" s="183" t="s">
        <v>593</v>
      </c>
      <c r="F16" s="183">
        <v>25</v>
      </c>
      <c r="G16" s="183"/>
      <c r="H16" s="183"/>
      <c r="I16" s="241">
        <f>F16*D16</f>
        <v>1.5</v>
      </c>
    </row>
    <row r="17" spans="1:10" x14ac:dyDescent="0.3">
      <c r="A17" s="183">
        <v>20</v>
      </c>
      <c r="B17" s="180" t="s">
        <v>760</v>
      </c>
      <c r="C17" s="414" t="s">
        <v>1171</v>
      </c>
      <c r="D17" s="241">
        <v>0.19</v>
      </c>
      <c r="E17" s="183" t="s">
        <v>556</v>
      </c>
      <c r="F17" s="183">
        <v>6</v>
      </c>
      <c r="G17" s="183"/>
      <c r="H17" s="183"/>
      <c r="I17" s="385">
        <f>IF('EN 08001'!$H17&lt;&gt;"",'EN 08001'!$D17*'EN 08001'!$F17*'EN 08001'!$H17,'EN 08001'!$D17*'EN 08001'!$F17)</f>
        <v>1.1400000000000001</v>
      </c>
    </row>
    <row r="18" spans="1:10" x14ac:dyDescent="0.3">
      <c r="A18" s="183">
        <v>30</v>
      </c>
      <c r="B18" s="180" t="s">
        <v>659</v>
      </c>
      <c r="C18" s="414" t="s">
        <v>1158</v>
      </c>
      <c r="D18" s="241">
        <v>0.5</v>
      </c>
      <c r="E18" s="183" t="s">
        <v>556</v>
      </c>
      <c r="F18" s="183">
        <v>8</v>
      </c>
      <c r="G18" s="183"/>
      <c r="H18" s="183"/>
      <c r="I18" s="385">
        <f>IF('EN 08001'!$H18&lt;&gt;"",'EN 08001'!$D18*'EN 08001'!$F18*'EN 08001'!$H18,'EN 08001'!$D18*'EN 08001'!$F18)</f>
        <v>4</v>
      </c>
    </row>
    <row r="19" spans="1:10" s="432" customFormat="1" x14ac:dyDescent="0.3">
      <c r="H19" s="338" t="s">
        <v>547</v>
      </c>
      <c r="I19" s="453">
        <f>SUM(I16:I18)</f>
        <v>6.6400000000000006</v>
      </c>
    </row>
    <row r="20" spans="1:10" s="432" customFormat="1" x14ac:dyDescent="0.3">
      <c r="H20" s="359"/>
      <c r="I20" s="435"/>
    </row>
    <row r="22" spans="1:10" s="432" customFormat="1" x14ac:dyDescent="0.3">
      <c r="A22" s="450" t="s">
        <v>544</v>
      </c>
      <c r="B22" s="450" t="s">
        <v>566</v>
      </c>
      <c r="C22" s="450" t="s">
        <v>549</v>
      </c>
      <c r="D22" s="450" t="s">
        <v>550</v>
      </c>
      <c r="E22" s="450" t="s">
        <v>567</v>
      </c>
      <c r="F22" s="450" t="s">
        <v>568</v>
      </c>
      <c r="G22" s="450" t="s">
        <v>569</v>
      </c>
      <c r="H22" s="450" t="s">
        <v>570</v>
      </c>
      <c r="I22" s="450" t="s">
        <v>28</v>
      </c>
      <c r="J22" s="450" t="s">
        <v>547</v>
      </c>
    </row>
    <row r="23" spans="1:10" x14ac:dyDescent="0.3">
      <c r="A23" s="183">
        <v>10</v>
      </c>
      <c r="B23" s="439" t="s">
        <v>1014</v>
      </c>
      <c r="C23" s="183" t="s">
        <v>1164</v>
      </c>
      <c r="D23" s="446">
        <v>0.60160000000000002</v>
      </c>
      <c r="E23" s="183">
        <v>25.4</v>
      </c>
      <c r="F23" s="437" t="s">
        <v>573</v>
      </c>
      <c r="G23" s="183"/>
      <c r="H23" s="414"/>
      <c r="I23" s="438">
        <v>8</v>
      </c>
      <c r="J23" s="241">
        <f>D23*I23</f>
        <v>4.8128000000000002</v>
      </c>
    </row>
    <row r="24" spans="1:10" s="432" customFormat="1" x14ac:dyDescent="0.3">
      <c r="I24" s="338" t="s">
        <v>547</v>
      </c>
      <c r="J24" s="453">
        <f>SUM(J23:J23)</f>
        <v>4.8128000000000002</v>
      </c>
    </row>
    <row r="25" spans="1:10" x14ac:dyDescent="0.3">
      <c r="H25" s="326"/>
      <c r="I25" s="447"/>
    </row>
  </sheetData>
  <pageMargins left="0.5" right="0.5" top="0.75" bottom="0.75" header="0.3" footer="0.3"/>
  <pageSetup paperSize="9" scale="57" orientation="landscape"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9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31.6640625" style="311" customWidth="1"/>
    <col min="3" max="3" width="28.10937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0.44140625" style="311" bestFit="1" customWidth="1"/>
    <col min="8" max="8" width="13.88671875" style="311" bestFit="1" customWidth="1"/>
    <col min="9" max="9" width="21.88671875" style="31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6.6640625" style="31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394" t="s">
        <v>523</v>
      </c>
      <c r="B1" s="311" t="s">
        <v>524</v>
      </c>
      <c r="J1" s="343" t="s">
        <v>528</v>
      </c>
      <c r="K1" s="163">
        <v>81</v>
      </c>
      <c r="M1" s="394" t="s">
        <v>546</v>
      </c>
      <c r="N1" s="424">
        <f>N13+I22+I28</f>
        <v>28.191943200000001</v>
      </c>
    </row>
    <row r="2" spans="1:14" x14ac:dyDescent="0.3">
      <c r="A2" s="394" t="s">
        <v>532</v>
      </c>
      <c r="B2" s="311" t="s">
        <v>780</v>
      </c>
      <c r="D2" s="394" t="s">
        <v>536</v>
      </c>
      <c r="M2" s="394" t="s">
        <v>533</v>
      </c>
      <c r="N2" s="425">
        <v>1</v>
      </c>
    </row>
    <row r="3" spans="1:14" x14ac:dyDescent="0.3">
      <c r="A3" s="394" t="s">
        <v>534</v>
      </c>
      <c r="B3" s="311" t="s">
        <v>1134</v>
      </c>
      <c r="D3" s="394" t="s">
        <v>538</v>
      </c>
      <c r="J3" s="394" t="s">
        <v>536</v>
      </c>
    </row>
    <row r="4" spans="1:14" x14ac:dyDescent="0.3">
      <c r="A4" s="394" t="s">
        <v>545</v>
      </c>
      <c r="B4" s="166" t="s">
        <v>153</v>
      </c>
      <c r="D4" s="394" t="s">
        <v>541</v>
      </c>
      <c r="J4" s="394" t="s">
        <v>538</v>
      </c>
      <c r="M4" s="394" t="s">
        <v>539</v>
      </c>
      <c r="N4" s="424">
        <f>N1*N2</f>
        <v>28.191943200000001</v>
      </c>
    </row>
    <row r="5" spans="1:14" x14ac:dyDescent="0.3">
      <c r="A5" s="394" t="s">
        <v>537</v>
      </c>
      <c r="B5" s="166" t="s">
        <v>152</v>
      </c>
      <c r="J5" s="394" t="s">
        <v>541</v>
      </c>
    </row>
    <row r="6" spans="1:14" x14ac:dyDescent="0.3">
      <c r="A6" s="394" t="s">
        <v>540</v>
      </c>
      <c r="B6" s="311" t="s">
        <v>36</v>
      </c>
      <c r="G6" s="454"/>
    </row>
    <row r="7" spans="1:14" x14ac:dyDescent="0.3">
      <c r="A7" s="394" t="s">
        <v>542</v>
      </c>
      <c r="B7" s="311" t="s">
        <v>1117</v>
      </c>
    </row>
    <row r="9" spans="1:14" s="432" customFormat="1" x14ac:dyDescent="0.3">
      <c r="A9" s="450" t="s">
        <v>544</v>
      </c>
      <c r="B9" s="450" t="s">
        <v>581</v>
      </c>
      <c r="C9" s="450" t="s">
        <v>549</v>
      </c>
      <c r="D9" s="450" t="s">
        <v>550</v>
      </c>
      <c r="E9" s="450" t="s">
        <v>567</v>
      </c>
      <c r="F9" s="450" t="s">
        <v>568</v>
      </c>
      <c r="G9" s="450" t="s">
        <v>569</v>
      </c>
      <c r="H9" s="450" t="s">
        <v>570</v>
      </c>
      <c r="I9" s="450" t="s">
        <v>582</v>
      </c>
      <c r="J9" s="450" t="s">
        <v>583</v>
      </c>
      <c r="K9" s="450" t="s">
        <v>584</v>
      </c>
      <c r="L9" s="450" t="s">
        <v>585</v>
      </c>
      <c r="M9" s="450" t="s">
        <v>28</v>
      </c>
      <c r="N9" s="450" t="s">
        <v>547</v>
      </c>
    </row>
    <row r="10" spans="1:14" x14ac:dyDescent="0.3">
      <c r="A10" s="183">
        <v>10</v>
      </c>
      <c r="B10" s="190" t="s">
        <v>1172</v>
      </c>
      <c r="C10" s="183" t="s">
        <v>153</v>
      </c>
      <c r="D10" s="455">
        <v>3.5000000000000001E-3</v>
      </c>
      <c r="E10" s="183">
        <f>J10*K10</f>
        <v>5625</v>
      </c>
      <c r="F10" s="183" t="s">
        <v>610</v>
      </c>
      <c r="G10" s="183"/>
      <c r="H10" s="204"/>
      <c r="I10" s="205" t="s">
        <v>603</v>
      </c>
      <c r="J10" s="430">
        <v>1125</v>
      </c>
      <c r="K10" s="204">
        <v>5</v>
      </c>
      <c r="L10" s="204">
        <v>1</v>
      </c>
      <c r="M10" s="183">
        <v>1</v>
      </c>
      <c r="N10" s="385">
        <f>IF(J10="",D10*M10,D10*J10*K10*L10*M10)</f>
        <v>19.6875</v>
      </c>
    </row>
    <row r="11" spans="1:14" x14ac:dyDescent="0.3">
      <c r="A11" s="183">
        <v>20</v>
      </c>
      <c r="B11" s="183" t="s">
        <v>707</v>
      </c>
      <c r="C11" s="456" t="s">
        <v>1173</v>
      </c>
      <c r="D11" s="241">
        <v>4.2</v>
      </c>
      <c r="E11" s="427">
        <f>L11*K11*J11</f>
        <v>0.21273500000000004</v>
      </c>
      <c r="F11" s="183" t="s">
        <v>856</v>
      </c>
      <c r="G11" s="183"/>
      <c r="H11" s="204"/>
      <c r="I11" s="452" t="s">
        <v>1174</v>
      </c>
      <c r="J11" s="206">
        <f>3.14*0.025*0.025</f>
        <v>1.9625000000000003E-3</v>
      </c>
      <c r="K11" s="204">
        <v>0.04</v>
      </c>
      <c r="L11" s="204">
        <v>2710</v>
      </c>
      <c r="M11" s="183">
        <v>1</v>
      </c>
      <c r="N11" s="385">
        <f>E11*D11</f>
        <v>0.89348700000000014</v>
      </c>
    </row>
    <row r="12" spans="1:14" x14ac:dyDescent="0.3">
      <c r="A12" s="183">
        <v>30</v>
      </c>
      <c r="B12" s="190" t="s">
        <v>596</v>
      </c>
      <c r="C12" s="183" t="s">
        <v>1175</v>
      </c>
      <c r="D12" s="241">
        <v>2.25</v>
      </c>
      <c r="E12" s="427">
        <f>L12*K12*J12</f>
        <v>0.44424720000000006</v>
      </c>
      <c r="F12" s="183" t="s">
        <v>856</v>
      </c>
      <c r="G12" s="183"/>
      <c r="H12" s="204"/>
      <c r="I12" s="205" t="s">
        <v>1176</v>
      </c>
      <c r="J12" s="207">
        <f>3.14*0.03*0.03</f>
        <v>2.826E-3</v>
      </c>
      <c r="K12" s="204">
        <v>0.02</v>
      </c>
      <c r="L12" s="204">
        <v>7860</v>
      </c>
      <c r="M12" s="183">
        <v>1</v>
      </c>
      <c r="N12" s="385">
        <f>E12*D12</f>
        <v>0.99955620000000012</v>
      </c>
    </row>
    <row r="13" spans="1:14" x14ac:dyDescent="0.3">
      <c r="A13" s="432"/>
      <c r="B13" s="432"/>
      <c r="C13" s="432"/>
      <c r="D13" s="432"/>
      <c r="E13" s="432"/>
      <c r="F13" s="432"/>
      <c r="G13" s="432"/>
      <c r="H13" s="432"/>
      <c r="I13" s="432"/>
      <c r="J13" s="432"/>
      <c r="K13" s="432"/>
      <c r="L13" s="432"/>
      <c r="M13" s="338" t="s">
        <v>547</v>
      </c>
      <c r="N13" s="453">
        <f>SUM(N10:N12)</f>
        <v>21.580543200000001</v>
      </c>
    </row>
    <row r="14" spans="1:14" s="432" customFormat="1" x14ac:dyDescent="0.3">
      <c r="A14" s="311"/>
      <c r="B14" s="311"/>
      <c r="C14" s="311"/>
      <c r="D14" s="311"/>
      <c r="E14" s="311"/>
      <c r="F14" s="311"/>
      <c r="G14" s="311"/>
      <c r="H14" s="311"/>
      <c r="I14" s="311"/>
      <c r="J14" s="311"/>
      <c r="K14" s="311"/>
      <c r="L14" s="311"/>
      <c r="M14" s="311"/>
    </row>
    <row r="15" spans="1:14" x14ac:dyDescent="0.3">
      <c r="A15" s="450" t="s">
        <v>544</v>
      </c>
      <c r="B15" s="450" t="s">
        <v>548</v>
      </c>
      <c r="C15" s="450" t="s">
        <v>549</v>
      </c>
      <c r="D15" s="450" t="s">
        <v>550</v>
      </c>
      <c r="E15" s="450" t="s">
        <v>551</v>
      </c>
      <c r="F15" s="450" t="s">
        <v>28</v>
      </c>
      <c r="G15" s="450" t="s">
        <v>552</v>
      </c>
      <c r="H15" s="450" t="s">
        <v>553</v>
      </c>
      <c r="I15" s="450" t="s">
        <v>547</v>
      </c>
      <c r="J15" s="432"/>
      <c r="K15" s="432"/>
      <c r="L15" s="432"/>
      <c r="M15" s="432"/>
    </row>
    <row r="16" spans="1:14" x14ac:dyDescent="0.3">
      <c r="A16" s="183">
        <v>10</v>
      </c>
      <c r="B16" s="180" t="s">
        <v>589</v>
      </c>
      <c r="C16" s="193" t="s">
        <v>1177</v>
      </c>
      <c r="D16" s="241">
        <v>1.3</v>
      </c>
      <c r="E16" s="183" t="s">
        <v>551</v>
      </c>
      <c r="F16" s="183">
        <v>1</v>
      </c>
      <c r="G16" s="183"/>
      <c r="H16" s="183"/>
      <c r="I16" s="241">
        <f>F16*D16</f>
        <v>1.3</v>
      </c>
    </row>
    <row r="17" spans="1:13" ht="28.8" x14ac:dyDescent="0.3">
      <c r="A17" s="183">
        <v>20</v>
      </c>
      <c r="B17" s="180" t="s">
        <v>609</v>
      </c>
      <c r="C17" s="456" t="s">
        <v>1173</v>
      </c>
      <c r="D17" s="241">
        <v>0.04</v>
      </c>
      <c r="E17" s="183" t="s">
        <v>610</v>
      </c>
      <c r="F17" s="183">
        <f>3.02*2</f>
        <v>6.04</v>
      </c>
      <c r="G17" s="348" t="s">
        <v>723</v>
      </c>
      <c r="H17" s="183">
        <v>1</v>
      </c>
      <c r="I17" s="385">
        <f>F17*D17*H17</f>
        <v>0.24160000000000001</v>
      </c>
    </row>
    <row r="18" spans="1:13" x14ac:dyDescent="0.3">
      <c r="A18" s="183">
        <v>30</v>
      </c>
      <c r="B18" s="180" t="s">
        <v>589</v>
      </c>
      <c r="C18" s="193" t="s">
        <v>1177</v>
      </c>
      <c r="D18" s="241">
        <v>1.3</v>
      </c>
      <c r="E18" s="183" t="s">
        <v>551</v>
      </c>
      <c r="F18" s="183">
        <v>1</v>
      </c>
      <c r="G18" s="180"/>
      <c r="H18" s="183"/>
      <c r="I18" s="241">
        <f>F18*D18</f>
        <v>1.3</v>
      </c>
    </row>
    <row r="19" spans="1:13" ht="28.8" x14ac:dyDescent="0.3">
      <c r="A19" s="183">
        <v>40</v>
      </c>
      <c r="B19" s="180" t="s">
        <v>609</v>
      </c>
      <c r="C19" s="456" t="s">
        <v>1178</v>
      </c>
      <c r="D19" s="241">
        <v>0.04</v>
      </c>
      <c r="E19" s="183" t="s">
        <v>610</v>
      </c>
      <c r="F19" s="183">
        <f>3.02*2</f>
        <v>6.04</v>
      </c>
      <c r="G19" s="180" t="s">
        <v>598</v>
      </c>
      <c r="H19" s="183">
        <v>3</v>
      </c>
      <c r="I19" s="385">
        <f>F19*D19*H19</f>
        <v>0.7248</v>
      </c>
    </row>
    <row r="20" spans="1:13" ht="21" customHeight="1" x14ac:dyDescent="0.3">
      <c r="A20" s="183">
        <v>50</v>
      </c>
      <c r="B20" s="414" t="s">
        <v>650</v>
      </c>
      <c r="C20" s="414" t="s">
        <v>1179</v>
      </c>
      <c r="D20" s="241">
        <v>0.15</v>
      </c>
      <c r="E20" s="183" t="s">
        <v>593</v>
      </c>
      <c r="F20" s="183">
        <f>3.14*5</f>
        <v>15.700000000000001</v>
      </c>
      <c r="G20" s="183"/>
      <c r="H20" s="183"/>
      <c r="I20" s="385">
        <f>F20*D20</f>
        <v>2.355</v>
      </c>
    </row>
    <row r="21" spans="1:13" ht="28.8" x14ac:dyDescent="0.3">
      <c r="A21" s="183">
        <v>60</v>
      </c>
      <c r="B21" s="180" t="s">
        <v>760</v>
      </c>
      <c r="C21" s="193" t="s">
        <v>1180</v>
      </c>
      <c r="D21" s="241">
        <v>0.19</v>
      </c>
      <c r="E21" s="183" t="s">
        <v>556</v>
      </c>
      <c r="F21" s="183">
        <v>1</v>
      </c>
      <c r="G21" s="183"/>
      <c r="H21" s="183"/>
      <c r="I21" s="385">
        <f>IF('EN 08002'!$H21&lt;&gt;"",'EN 08002'!$D21*'EN 08002'!$F21*'EN 08002'!$H21,'EN 08002'!$D21*'EN 08002'!$F21)</f>
        <v>0.19</v>
      </c>
    </row>
    <row r="22" spans="1:13" x14ac:dyDescent="0.3">
      <c r="A22" s="432"/>
      <c r="B22" s="432"/>
      <c r="C22" s="432"/>
      <c r="D22" s="432"/>
      <c r="E22" s="432"/>
      <c r="F22" s="432"/>
      <c r="G22" s="432"/>
      <c r="H22" s="338" t="s">
        <v>547</v>
      </c>
      <c r="I22" s="453">
        <f>SUM(I16:I21)</f>
        <v>6.1114000000000006</v>
      </c>
      <c r="J22" s="432"/>
      <c r="K22" s="432"/>
      <c r="L22" s="432"/>
      <c r="M22" s="432"/>
    </row>
    <row r="23" spans="1:13" x14ac:dyDescent="0.3">
      <c r="J23" s="434"/>
    </row>
    <row r="24" spans="1:13" x14ac:dyDescent="0.3">
      <c r="A24" s="432"/>
      <c r="B24" s="432"/>
      <c r="C24" s="432"/>
      <c r="D24" s="432"/>
      <c r="E24" s="432"/>
      <c r="F24" s="432"/>
      <c r="G24" s="432"/>
      <c r="H24" s="432"/>
      <c r="I24" s="359"/>
      <c r="J24" s="432"/>
      <c r="K24" s="432"/>
      <c r="L24" s="432"/>
      <c r="M24" s="432"/>
    </row>
    <row r="25" spans="1:13" x14ac:dyDescent="0.3">
      <c r="H25" s="326"/>
      <c r="I25" s="447"/>
    </row>
    <row r="26" spans="1:13" s="432" customFormat="1" x14ac:dyDescent="0.3">
      <c r="A26" s="450" t="s">
        <v>544</v>
      </c>
      <c r="B26" s="450" t="s">
        <v>6</v>
      </c>
      <c r="C26" s="450" t="s">
        <v>549</v>
      </c>
      <c r="D26" s="450" t="s">
        <v>550</v>
      </c>
      <c r="E26" s="450" t="s">
        <v>551</v>
      </c>
      <c r="F26" s="450" t="s">
        <v>28</v>
      </c>
      <c r="G26" s="450" t="s">
        <v>691</v>
      </c>
      <c r="H26" s="450" t="s">
        <v>692</v>
      </c>
      <c r="I26" s="450" t="s">
        <v>547</v>
      </c>
      <c r="J26" s="311"/>
      <c r="K26" s="311"/>
      <c r="L26" s="311"/>
      <c r="M26" s="311"/>
    </row>
    <row r="27" spans="1:13" x14ac:dyDescent="0.3">
      <c r="A27" s="183">
        <v>10</v>
      </c>
      <c r="B27" s="217" t="s">
        <v>693</v>
      </c>
      <c r="C27" s="183" t="s">
        <v>1181</v>
      </c>
      <c r="D27" s="241">
        <v>500</v>
      </c>
      <c r="E27" s="183" t="s">
        <v>1166</v>
      </c>
      <c r="F27" s="183">
        <v>3</v>
      </c>
      <c r="G27" s="183">
        <v>3000</v>
      </c>
      <c r="H27" s="183">
        <v>1</v>
      </c>
      <c r="I27" s="241">
        <f>D27*F27/G27*H27</f>
        <v>0.5</v>
      </c>
      <c r="J27" s="432"/>
      <c r="K27" s="432"/>
      <c r="L27" s="432"/>
      <c r="M27" s="432"/>
    </row>
    <row r="28" spans="1:13" x14ac:dyDescent="0.3">
      <c r="A28" s="432"/>
      <c r="B28" s="432"/>
      <c r="C28" s="432"/>
      <c r="D28" s="432"/>
      <c r="E28" s="432"/>
      <c r="F28" s="432"/>
      <c r="G28" s="432"/>
      <c r="H28" s="344" t="s">
        <v>547</v>
      </c>
      <c r="I28" s="453">
        <f>SUM(I27:I27)</f>
        <v>0.5</v>
      </c>
    </row>
    <row r="29" spans="1:13" x14ac:dyDescent="0.3">
      <c r="H29" s="326"/>
      <c r="I29" s="447"/>
    </row>
  </sheetData>
  <pageMargins left="0.5" right="0.5" top="0.75" bottom="0.75" header="0.3" footer="0.3"/>
  <pageSetup paperSize="9" scale="57" orientation="landscape" r:id="rId1"/>
  <ignoredErrors>
    <ignoredError sqref="I19 I17" formula="1"/>
  </ignoredErrors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27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17.88671875" style="311" customWidth="1"/>
    <col min="3" max="3" width="23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2" style="311" customWidth="1"/>
    <col min="8" max="8" width="13.88671875" style="311" bestFit="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3.88671875" style="311" bestFit="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394" t="s">
        <v>523</v>
      </c>
      <c r="B1" s="311" t="s">
        <v>524</v>
      </c>
      <c r="J1" s="343" t="s">
        <v>528</v>
      </c>
      <c r="K1" s="163">
        <v>81</v>
      </c>
      <c r="M1" s="394" t="s">
        <v>546</v>
      </c>
      <c r="N1" s="424">
        <f>N12+I20+J26</f>
        <v>34.351056</v>
      </c>
    </row>
    <row r="2" spans="1:14" x14ac:dyDescent="0.3">
      <c r="A2" s="394" t="s">
        <v>532</v>
      </c>
      <c r="B2" s="311" t="s">
        <v>780</v>
      </c>
      <c r="D2" s="394" t="s">
        <v>536</v>
      </c>
      <c r="M2" s="394" t="s">
        <v>533</v>
      </c>
      <c r="N2" s="425">
        <v>1</v>
      </c>
    </row>
    <row r="3" spans="1:14" x14ac:dyDescent="0.3">
      <c r="A3" s="394" t="s">
        <v>534</v>
      </c>
      <c r="B3" s="311" t="s">
        <v>1134</v>
      </c>
      <c r="D3" s="394" t="s">
        <v>538</v>
      </c>
      <c r="J3" s="394" t="s">
        <v>536</v>
      </c>
    </row>
    <row r="4" spans="1:14" x14ac:dyDescent="0.3">
      <c r="A4" s="394" t="s">
        <v>545</v>
      </c>
      <c r="B4" s="166" t="s">
        <v>155</v>
      </c>
      <c r="D4" s="394" t="s">
        <v>541</v>
      </c>
      <c r="J4" s="394" t="s">
        <v>538</v>
      </c>
      <c r="M4" s="394" t="s">
        <v>539</v>
      </c>
      <c r="N4" s="424">
        <f>N1*N2</f>
        <v>34.351056</v>
      </c>
    </row>
    <row r="5" spans="1:14" x14ac:dyDescent="0.3">
      <c r="A5" s="394" t="s">
        <v>537</v>
      </c>
      <c r="B5" s="166" t="s">
        <v>154</v>
      </c>
      <c r="J5" s="394" t="s">
        <v>541</v>
      </c>
    </row>
    <row r="6" spans="1:14" x14ac:dyDescent="0.3">
      <c r="A6" s="394" t="s">
        <v>540</v>
      </c>
      <c r="B6" s="311" t="s">
        <v>36</v>
      </c>
    </row>
    <row r="7" spans="1:14" x14ac:dyDescent="0.3">
      <c r="A7" s="394" t="s">
        <v>542</v>
      </c>
    </row>
    <row r="9" spans="1:14" s="432" customFormat="1" x14ac:dyDescent="0.3">
      <c r="A9" s="450" t="s">
        <v>544</v>
      </c>
      <c r="B9" s="450" t="s">
        <v>581</v>
      </c>
      <c r="C9" s="450" t="s">
        <v>549</v>
      </c>
      <c r="D9" s="450" t="s">
        <v>550</v>
      </c>
      <c r="E9" s="450" t="s">
        <v>567</v>
      </c>
      <c r="F9" s="450" t="s">
        <v>568</v>
      </c>
      <c r="G9" s="450" t="s">
        <v>569</v>
      </c>
      <c r="H9" s="450" t="s">
        <v>570</v>
      </c>
      <c r="I9" s="450" t="s">
        <v>582</v>
      </c>
      <c r="J9" s="450" t="s">
        <v>583</v>
      </c>
      <c r="K9" s="450" t="s">
        <v>584</v>
      </c>
      <c r="L9" s="450" t="s">
        <v>585</v>
      </c>
      <c r="M9" s="450" t="s">
        <v>28</v>
      </c>
      <c r="N9" s="450" t="s">
        <v>547</v>
      </c>
    </row>
    <row r="10" spans="1:14" x14ac:dyDescent="0.3">
      <c r="A10" s="183">
        <v>10</v>
      </c>
      <c r="B10" s="190" t="s">
        <v>1182</v>
      </c>
      <c r="C10" s="183"/>
      <c r="D10" s="241">
        <v>30</v>
      </c>
      <c r="E10" s="183"/>
      <c r="F10" s="183"/>
      <c r="G10" s="183"/>
      <c r="H10" s="204"/>
      <c r="I10" s="205"/>
      <c r="J10" s="430"/>
      <c r="K10" s="204"/>
      <c r="L10" s="204"/>
      <c r="M10" s="431">
        <v>1</v>
      </c>
      <c r="N10" s="385">
        <f>IF(J10="",D10*M10,D10*J10*K10*L10*M10)</f>
        <v>30</v>
      </c>
    </row>
    <row r="11" spans="1:14" ht="28.8" x14ac:dyDescent="0.3">
      <c r="A11" s="183">
        <v>20</v>
      </c>
      <c r="B11" s="190" t="s">
        <v>1032</v>
      </c>
      <c r="C11" s="183" t="s">
        <v>1183</v>
      </c>
      <c r="D11" s="241">
        <v>4.2</v>
      </c>
      <c r="E11" s="457">
        <f>J11*K11*L11</f>
        <v>1.0839999999999999E-2</v>
      </c>
      <c r="F11" s="183" t="s">
        <v>856</v>
      </c>
      <c r="G11" s="183"/>
      <c r="H11" s="204"/>
      <c r="I11" s="205" t="s">
        <v>1184</v>
      </c>
      <c r="J11" s="207">
        <v>2E-3</v>
      </c>
      <c r="K11" s="207">
        <v>2E-3</v>
      </c>
      <c r="L11" s="204">
        <v>2710</v>
      </c>
      <c r="M11" s="431">
        <v>2</v>
      </c>
      <c r="N11" s="385">
        <f>IF(J11="",D11*M11,D11*J11*K11*L11*M11)</f>
        <v>9.1056000000000012E-2</v>
      </c>
    </row>
    <row r="12" spans="1:14" s="432" customFormat="1" x14ac:dyDescent="0.3">
      <c r="M12" s="338" t="s">
        <v>547</v>
      </c>
      <c r="N12" s="453">
        <f>SUM(N10:N11)</f>
        <v>30.091055999999998</v>
      </c>
    </row>
    <row r="14" spans="1:14" s="432" customFormat="1" x14ac:dyDescent="0.3">
      <c r="A14" s="450" t="s">
        <v>544</v>
      </c>
      <c r="B14" s="450" t="s">
        <v>548</v>
      </c>
      <c r="C14" s="450" t="s">
        <v>549</v>
      </c>
      <c r="D14" s="450" t="s">
        <v>550</v>
      </c>
      <c r="E14" s="450" t="s">
        <v>551</v>
      </c>
      <c r="F14" s="450" t="s">
        <v>28</v>
      </c>
      <c r="G14" s="450" t="s">
        <v>552</v>
      </c>
      <c r="H14" s="450" t="s">
        <v>553</v>
      </c>
      <c r="I14" s="450" t="s">
        <v>547</v>
      </c>
    </row>
    <row r="15" spans="1:14" ht="28.8" x14ac:dyDescent="0.3">
      <c r="A15" s="183">
        <v>10</v>
      </c>
      <c r="B15" s="180" t="s">
        <v>589</v>
      </c>
      <c r="C15" s="193" t="s">
        <v>590</v>
      </c>
      <c r="D15" s="241">
        <v>1.3</v>
      </c>
      <c r="E15" s="183" t="s">
        <v>551</v>
      </c>
      <c r="F15" s="183">
        <v>1</v>
      </c>
      <c r="G15" s="183"/>
      <c r="H15" s="183"/>
      <c r="I15" s="385">
        <f>IF('EN 08003'!$H15&lt;&gt;"",'EN 08003'!$D15*'EN 08003'!$F15*'EN 08003'!$H15,'EN 08003'!$D15*'EN 08003'!$F15)</f>
        <v>1.3</v>
      </c>
    </row>
    <row r="16" spans="1:14" x14ac:dyDescent="0.3">
      <c r="A16" s="183">
        <v>20</v>
      </c>
      <c r="B16" s="180" t="s">
        <v>700</v>
      </c>
      <c r="C16" s="193" t="s">
        <v>1185</v>
      </c>
      <c r="D16" s="241">
        <v>0.01</v>
      </c>
      <c r="E16" s="183" t="s">
        <v>593</v>
      </c>
      <c r="F16" s="183">
        <v>60</v>
      </c>
      <c r="G16" s="183" t="s">
        <v>1186</v>
      </c>
      <c r="H16" s="183">
        <v>1</v>
      </c>
      <c r="I16" s="385">
        <f>IF('EN 08003'!$H16&lt;&gt;"",'EN 08003'!$D16*'EN 08003'!$F16*'EN 08003'!$H16,'EN 08003'!$D16*'EN 08003'!$F16)</f>
        <v>0.6</v>
      </c>
    </row>
    <row r="17" spans="1:10" ht="28.8" x14ac:dyDescent="0.3">
      <c r="A17" s="183">
        <v>30</v>
      </c>
      <c r="B17" s="180" t="s">
        <v>816</v>
      </c>
      <c r="C17" s="193" t="s">
        <v>1187</v>
      </c>
      <c r="D17" s="241">
        <v>0.38</v>
      </c>
      <c r="E17" s="183" t="s">
        <v>551</v>
      </c>
      <c r="F17" s="183">
        <v>1</v>
      </c>
      <c r="G17" s="183"/>
      <c r="H17" s="183"/>
      <c r="I17" s="385">
        <f>IF('EN 08003'!$H17&lt;&gt;"",'EN 08003'!$D17*'EN 08003'!$F17*'EN 08003'!$H17,'EN 08003'!$D17*'EN 08003'!$F17)</f>
        <v>0.38</v>
      </c>
    </row>
    <row r="18" spans="1:10" x14ac:dyDescent="0.3">
      <c r="A18" s="183">
        <v>40</v>
      </c>
      <c r="B18" s="180" t="s">
        <v>659</v>
      </c>
      <c r="C18" s="193" t="s">
        <v>1188</v>
      </c>
      <c r="D18" s="241">
        <v>0.5</v>
      </c>
      <c r="E18" s="183" t="s">
        <v>556</v>
      </c>
      <c r="F18" s="183">
        <v>4</v>
      </c>
      <c r="G18" s="183"/>
      <c r="H18" s="183"/>
      <c r="I18" s="385">
        <f>IF('EN 08003'!$H18&lt;&gt;"",'EN 08003'!$D18*'EN 08003'!$F18*'EN 08003'!$H18,'EN 08003'!$D18*'EN 08003'!$F18)</f>
        <v>2</v>
      </c>
    </row>
    <row r="19" spans="1:10" ht="28.8" x14ac:dyDescent="0.3">
      <c r="A19" s="183">
        <v>50</v>
      </c>
      <c r="B19" s="180" t="s">
        <v>660</v>
      </c>
      <c r="C19" s="193" t="s">
        <v>1189</v>
      </c>
      <c r="D19" s="241">
        <v>0.25</v>
      </c>
      <c r="E19" s="183" t="s">
        <v>556</v>
      </c>
      <c r="F19" s="183">
        <v>4</v>
      </c>
      <c r="G19" s="183"/>
      <c r="H19" s="183"/>
      <c r="I19" s="385">
        <f>IF('EN 08003'!$H19&lt;&gt;"",'EN 08003'!$D19*'EN 08003'!$F19*'EN 08003'!$H19,'EN 08003'!$D19*'EN 08003'!$F19)</f>
        <v>1</v>
      </c>
    </row>
    <row r="20" spans="1:10" s="432" customFormat="1" x14ac:dyDescent="0.3">
      <c r="H20" s="338" t="s">
        <v>547</v>
      </c>
      <c r="I20" s="453">
        <f>SUM(I16:I19)</f>
        <v>3.98</v>
      </c>
    </row>
    <row r="22" spans="1:10" s="432" customFormat="1" x14ac:dyDescent="0.3">
      <c r="A22" s="450" t="s">
        <v>544</v>
      </c>
      <c r="B22" s="450" t="s">
        <v>566</v>
      </c>
      <c r="C22" s="450" t="s">
        <v>549</v>
      </c>
      <c r="D22" s="450" t="s">
        <v>550</v>
      </c>
      <c r="E22" s="450" t="s">
        <v>567</v>
      </c>
      <c r="F22" s="450" t="s">
        <v>568</v>
      </c>
      <c r="G22" s="450" t="s">
        <v>569</v>
      </c>
      <c r="H22" s="450" t="s">
        <v>570</v>
      </c>
      <c r="I22" s="450" t="s">
        <v>28</v>
      </c>
      <c r="J22" s="450" t="s">
        <v>547</v>
      </c>
    </row>
    <row r="23" spans="1:10" ht="28.8" x14ac:dyDescent="0.3">
      <c r="A23" s="183">
        <v>10</v>
      </c>
      <c r="B23" s="190" t="s">
        <v>684</v>
      </c>
      <c r="C23" s="183" t="s">
        <v>1190</v>
      </c>
      <c r="D23" s="241">
        <v>0.03</v>
      </c>
      <c r="E23" s="183">
        <v>6</v>
      </c>
      <c r="F23" s="437" t="s">
        <v>573</v>
      </c>
      <c r="G23" s="183">
        <v>10</v>
      </c>
      <c r="H23" s="414" t="s">
        <v>573</v>
      </c>
      <c r="I23" s="438">
        <v>4</v>
      </c>
      <c r="J23" s="241">
        <f>D23*I23</f>
        <v>0.12</v>
      </c>
    </row>
    <row r="24" spans="1:10" ht="28.8" x14ac:dyDescent="0.3">
      <c r="A24" s="183">
        <v>20</v>
      </c>
      <c r="B24" s="439" t="s">
        <v>618</v>
      </c>
      <c r="C24" s="183" t="s">
        <v>1191</v>
      </c>
      <c r="D24" s="241">
        <v>0.03</v>
      </c>
      <c r="E24" s="183">
        <v>6</v>
      </c>
      <c r="F24" s="437" t="s">
        <v>573</v>
      </c>
      <c r="G24" s="183"/>
      <c r="H24" s="414"/>
      <c r="I24" s="438">
        <v>4</v>
      </c>
      <c r="J24" s="241">
        <f>D24*I24</f>
        <v>0.12</v>
      </c>
    </row>
    <row r="25" spans="1:10" ht="28.8" x14ac:dyDescent="0.3">
      <c r="A25" s="183">
        <v>30</v>
      </c>
      <c r="B25" s="439" t="s">
        <v>574</v>
      </c>
      <c r="C25" s="183" t="s">
        <v>1192</v>
      </c>
      <c r="D25" s="183">
        <v>0.01</v>
      </c>
      <c r="E25" s="183">
        <v>6</v>
      </c>
      <c r="F25" s="437" t="s">
        <v>573</v>
      </c>
      <c r="G25" s="183"/>
      <c r="H25" s="414"/>
      <c r="I25" s="438">
        <v>4</v>
      </c>
      <c r="J25" s="241">
        <f>D25*I25</f>
        <v>0.04</v>
      </c>
    </row>
    <row r="26" spans="1:10" s="432" customFormat="1" x14ac:dyDescent="0.3">
      <c r="I26" s="338" t="s">
        <v>547</v>
      </c>
      <c r="J26" s="453">
        <f>SUM(J23:J25)</f>
        <v>0.27999999999999997</v>
      </c>
    </row>
    <row r="27" spans="1:10" x14ac:dyDescent="0.3">
      <c r="H27" s="326"/>
      <c r="I27" s="447"/>
    </row>
  </sheetData>
  <pageMargins left="0.5" right="0.5" top="0.75" bottom="0.75" header="0.3" footer="0.3"/>
  <pageSetup paperSize="9" scale="67" fitToHeight="0" orientation="landscape"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32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21" style="248" customWidth="1"/>
    <col min="3" max="3" width="19.5546875" style="248" customWidth="1"/>
    <col min="4" max="4" width="13.5546875" style="311" bestFit="1" customWidth="1"/>
    <col min="5" max="5" width="10.88671875" style="311" customWidth="1"/>
    <col min="6" max="6" width="9.88671875" style="311" customWidth="1"/>
    <col min="7" max="7" width="11.44140625" style="311" customWidth="1"/>
    <col min="8" max="8" width="11.6640625" style="311" customWidth="1"/>
    <col min="9" max="9" width="15.44140625" style="248" customWidth="1"/>
    <col min="10" max="10" width="13.88671875" style="311" bestFit="1" customWidth="1"/>
    <col min="11" max="11" width="10.44140625" style="311" bestFit="1" customWidth="1"/>
    <col min="12" max="12" width="14.44140625" style="311" customWidth="1"/>
    <col min="13" max="13" width="16.5546875" style="31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394" t="s">
        <v>523</v>
      </c>
      <c r="B1" s="311" t="s">
        <v>524</v>
      </c>
      <c r="J1" s="343" t="s">
        <v>528</v>
      </c>
      <c r="K1" s="163">
        <v>81</v>
      </c>
      <c r="M1" s="394" t="s">
        <v>546</v>
      </c>
      <c r="N1" s="424">
        <f>N14+I26+I31</f>
        <v>22.148124633333332</v>
      </c>
    </row>
    <row r="2" spans="1:14" x14ac:dyDescent="0.3">
      <c r="A2" s="394" t="s">
        <v>532</v>
      </c>
      <c r="B2" s="248" t="s">
        <v>1108</v>
      </c>
      <c r="D2" s="394" t="s">
        <v>536</v>
      </c>
      <c r="M2" s="394" t="s">
        <v>533</v>
      </c>
      <c r="N2" s="425">
        <v>1</v>
      </c>
    </row>
    <row r="3" spans="1:14" x14ac:dyDescent="0.3">
      <c r="A3" s="394" t="s">
        <v>534</v>
      </c>
      <c r="B3" s="248" t="s">
        <v>1134</v>
      </c>
      <c r="D3" s="394" t="s">
        <v>538</v>
      </c>
      <c r="J3" s="394" t="s">
        <v>536</v>
      </c>
    </row>
    <row r="4" spans="1:14" x14ac:dyDescent="0.3">
      <c r="A4" s="394" t="s">
        <v>545</v>
      </c>
      <c r="B4" s="319" t="s">
        <v>157</v>
      </c>
      <c r="D4" s="394" t="s">
        <v>541</v>
      </c>
      <c r="F4" s="458"/>
      <c r="J4" s="394" t="s">
        <v>538</v>
      </c>
      <c r="M4" s="394" t="s">
        <v>539</v>
      </c>
      <c r="N4" s="424">
        <f>N1*N2</f>
        <v>22.148124633333332</v>
      </c>
    </row>
    <row r="5" spans="1:14" x14ac:dyDescent="0.3">
      <c r="A5" s="394" t="s">
        <v>537</v>
      </c>
      <c r="B5" s="319" t="s">
        <v>156</v>
      </c>
      <c r="J5" s="394" t="s">
        <v>541</v>
      </c>
    </row>
    <row r="6" spans="1:14" x14ac:dyDescent="0.3">
      <c r="A6" s="394" t="s">
        <v>540</v>
      </c>
      <c r="B6" s="248" t="s">
        <v>36</v>
      </c>
    </row>
    <row r="7" spans="1:14" x14ac:dyDescent="0.3">
      <c r="A7" s="394" t="s">
        <v>542</v>
      </c>
      <c r="B7" s="311" t="s">
        <v>1117</v>
      </c>
    </row>
    <row r="9" spans="1:14" s="432" customFormat="1" x14ac:dyDescent="0.3">
      <c r="A9" s="450" t="s">
        <v>544</v>
      </c>
      <c r="B9" s="371" t="s">
        <v>581</v>
      </c>
      <c r="C9" s="371" t="s">
        <v>549</v>
      </c>
      <c r="D9" s="450" t="s">
        <v>550</v>
      </c>
      <c r="E9" s="450" t="s">
        <v>567</v>
      </c>
      <c r="F9" s="450" t="s">
        <v>568</v>
      </c>
      <c r="G9" s="450" t="s">
        <v>569</v>
      </c>
      <c r="H9" s="450" t="s">
        <v>570</v>
      </c>
      <c r="I9" s="371" t="s">
        <v>582</v>
      </c>
      <c r="J9" s="450" t="s">
        <v>1193</v>
      </c>
      <c r="K9" s="450" t="s">
        <v>1194</v>
      </c>
      <c r="L9" s="450" t="s">
        <v>585</v>
      </c>
      <c r="M9" s="450" t="s">
        <v>28</v>
      </c>
      <c r="N9" s="450" t="s">
        <v>547</v>
      </c>
    </row>
    <row r="10" spans="1:14" ht="28.8" x14ac:dyDescent="0.3">
      <c r="A10" s="183">
        <v>10</v>
      </c>
      <c r="B10" s="184" t="s">
        <v>707</v>
      </c>
      <c r="C10" s="184" t="s">
        <v>1195</v>
      </c>
      <c r="D10" s="241">
        <v>4.2</v>
      </c>
      <c r="E10" s="427">
        <f>L10*K10*J10</f>
        <v>0.25040400000000002</v>
      </c>
      <c r="F10" s="183" t="s">
        <v>856</v>
      </c>
      <c r="G10" s="183"/>
      <c r="H10" s="204"/>
      <c r="I10" s="269" t="s">
        <v>1196</v>
      </c>
      <c r="J10" s="206">
        <f>616/1000000</f>
        <v>6.1600000000000001E-4</v>
      </c>
      <c r="K10" s="204">
        <f>150/1000</f>
        <v>0.15</v>
      </c>
      <c r="L10" s="204">
        <v>2710</v>
      </c>
      <c r="M10" s="183">
        <v>1</v>
      </c>
      <c r="N10" s="385">
        <f>IF(J10="",D10*M10,D10*J10*K10*L10*M10)</f>
        <v>1.0516968</v>
      </c>
    </row>
    <row r="11" spans="1:14" ht="28.8" x14ac:dyDescent="0.3">
      <c r="A11" s="183">
        <v>20</v>
      </c>
      <c r="B11" s="184" t="s">
        <v>707</v>
      </c>
      <c r="C11" s="184" t="s">
        <v>1197</v>
      </c>
      <c r="D11" s="241">
        <v>4.2</v>
      </c>
      <c r="E11" s="427">
        <f>L11*K11*J11</f>
        <v>4.2547000000000008E-2</v>
      </c>
      <c r="F11" s="183" t="s">
        <v>856</v>
      </c>
      <c r="G11" s="183"/>
      <c r="H11" s="204"/>
      <c r="I11" s="269" t="s">
        <v>1198</v>
      </c>
      <c r="J11" s="206">
        <f>3.14*0.05*0.05</f>
        <v>7.8500000000000011E-3</v>
      </c>
      <c r="K11" s="207">
        <v>2E-3</v>
      </c>
      <c r="L11" s="204">
        <v>2710</v>
      </c>
      <c r="M11" s="183">
        <v>2</v>
      </c>
      <c r="N11" s="385">
        <f>IF(J11="",D11*M11,D11*J11*K11*L11*M11)</f>
        <v>0.35739480000000007</v>
      </c>
    </row>
    <row r="12" spans="1:14" ht="28.8" x14ac:dyDescent="0.3">
      <c r="A12" s="183">
        <v>30</v>
      </c>
      <c r="B12" s="248" t="s">
        <v>707</v>
      </c>
      <c r="C12" s="460" t="s">
        <v>1199</v>
      </c>
      <c r="D12" s="241">
        <v>4.2</v>
      </c>
      <c r="E12" s="427">
        <f>L12*K12*J12</f>
        <v>0.10636750000000002</v>
      </c>
      <c r="F12" s="183" t="s">
        <v>856</v>
      </c>
      <c r="G12" s="183"/>
      <c r="H12" s="204"/>
      <c r="I12" s="419" t="s">
        <v>1174</v>
      </c>
      <c r="J12" s="206">
        <f>3.14*0.025*0.025</f>
        <v>1.9625000000000003E-3</v>
      </c>
      <c r="K12" s="204">
        <v>0.02</v>
      </c>
      <c r="L12" s="204">
        <v>2710</v>
      </c>
      <c r="M12" s="183">
        <v>1</v>
      </c>
      <c r="N12" s="385">
        <f>IF(J12="",D12*M12,D12*J12*K12*L12*M12)</f>
        <v>0.44674350000000007</v>
      </c>
    </row>
    <row r="13" spans="1:14" ht="28.8" x14ac:dyDescent="0.3">
      <c r="A13" s="183">
        <v>40</v>
      </c>
      <c r="B13" s="190" t="s">
        <v>596</v>
      </c>
      <c r="C13" s="184" t="s">
        <v>1200</v>
      </c>
      <c r="D13" s="241">
        <v>2.25</v>
      </c>
      <c r="E13" s="427">
        <f>L13*K13*J13</f>
        <v>0.44424720000000006</v>
      </c>
      <c r="F13" s="183" t="s">
        <v>856</v>
      </c>
      <c r="G13" s="183"/>
      <c r="H13" s="204"/>
      <c r="I13" s="269" t="s">
        <v>1176</v>
      </c>
      <c r="J13" s="207">
        <f>3.14*0.03*0.03</f>
        <v>2.826E-3</v>
      </c>
      <c r="K13" s="204">
        <v>0.02</v>
      </c>
      <c r="L13" s="204">
        <v>7860</v>
      </c>
      <c r="M13" s="183">
        <v>1</v>
      </c>
      <c r="N13" s="385">
        <f>E13*D13</f>
        <v>0.99955620000000012</v>
      </c>
    </row>
    <row r="14" spans="1:14" s="432" customFormat="1" x14ac:dyDescent="0.3">
      <c r="B14" s="278"/>
      <c r="C14" s="278"/>
      <c r="I14" s="278"/>
      <c r="M14" s="338" t="s">
        <v>547</v>
      </c>
      <c r="N14" s="453">
        <f>SUM(N10:N13)</f>
        <v>2.8553913000000004</v>
      </c>
    </row>
    <row r="16" spans="1:14" s="432" customFormat="1" x14ac:dyDescent="0.3">
      <c r="A16" s="450" t="s">
        <v>544</v>
      </c>
      <c r="B16" s="371" t="s">
        <v>548</v>
      </c>
      <c r="C16" s="371" t="s">
        <v>549</v>
      </c>
      <c r="D16" s="450" t="s">
        <v>550</v>
      </c>
      <c r="E16" s="450" t="s">
        <v>551</v>
      </c>
      <c r="F16" s="450" t="s">
        <v>28</v>
      </c>
      <c r="G16" s="450" t="s">
        <v>552</v>
      </c>
      <c r="H16" s="450" t="s">
        <v>553</v>
      </c>
      <c r="I16" s="371" t="s">
        <v>547</v>
      </c>
    </row>
    <row r="17" spans="1:9" ht="28.8" x14ac:dyDescent="0.3">
      <c r="A17" s="183">
        <v>10</v>
      </c>
      <c r="B17" s="180" t="s">
        <v>589</v>
      </c>
      <c r="C17" s="193" t="s">
        <v>1635</v>
      </c>
      <c r="D17" s="241">
        <v>1.3</v>
      </c>
      <c r="E17" s="183" t="s">
        <v>551</v>
      </c>
      <c r="F17" s="183">
        <v>1</v>
      </c>
      <c r="G17" s="183"/>
      <c r="H17" s="183"/>
      <c r="I17" s="362">
        <f>F17*D17</f>
        <v>1.3</v>
      </c>
    </row>
    <row r="18" spans="1:9" ht="28.8" x14ac:dyDescent="0.3">
      <c r="A18" s="183">
        <v>20</v>
      </c>
      <c r="B18" s="180" t="s">
        <v>609</v>
      </c>
      <c r="C18" s="193" t="s">
        <v>1201</v>
      </c>
      <c r="D18" s="241">
        <v>0.04</v>
      </c>
      <c r="E18" s="183" t="s">
        <v>610</v>
      </c>
      <c r="F18" s="183">
        <f>3.02*2</f>
        <v>6.04</v>
      </c>
      <c r="G18" s="183" t="s">
        <v>1186</v>
      </c>
      <c r="H18" s="183">
        <v>1</v>
      </c>
      <c r="I18" s="363">
        <f>F18*D18*H18</f>
        <v>0.24160000000000001</v>
      </c>
    </row>
    <row r="19" spans="1:9" ht="28.8" x14ac:dyDescent="0.3">
      <c r="A19" s="183">
        <v>30</v>
      </c>
      <c r="B19" s="180" t="s">
        <v>589</v>
      </c>
      <c r="C19" s="193" t="s">
        <v>590</v>
      </c>
      <c r="D19" s="241">
        <v>1.3</v>
      </c>
      <c r="E19" s="183" t="s">
        <v>551</v>
      </c>
      <c r="F19" s="183">
        <v>1</v>
      </c>
      <c r="G19" s="183"/>
      <c r="H19" s="183"/>
      <c r="I19" s="362">
        <f>F19*D19</f>
        <v>1.3</v>
      </c>
    </row>
    <row r="20" spans="1:9" ht="28.8" x14ac:dyDescent="0.3">
      <c r="A20" s="183">
        <v>40</v>
      </c>
      <c r="B20" s="289" t="s">
        <v>700</v>
      </c>
      <c r="C20" s="193" t="s">
        <v>1202</v>
      </c>
      <c r="D20" s="241">
        <v>0.01</v>
      </c>
      <c r="E20" s="183" t="s">
        <v>593</v>
      </c>
      <c r="F20" s="183">
        <v>62.8</v>
      </c>
      <c r="G20" s="183" t="s">
        <v>1186</v>
      </c>
      <c r="H20" s="183">
        <v>1</v>
      </c>
      <c r="I20" s="363">
        <f>H20*F20*D20</f>
        <v>0.628</v>
      </c>
    </row>
    <row r="21" spans="1:9" ht="28.8" x14ac:dyDescent="0.3">
      <c r="A21" s="183">
        <v>50</v>
      </c>
      <c r="B21" s="193" t="s">
        <v>650</v>
      </c>
      <c r="C21" s="193" t="s">
        <v>1203</v>
      </c>
      <c r="D21" s="241">
        <v>0.15</v>
      </c>
      <c r="E21" s="183" t="s">
        <v>593</v>
      </c>
      <c r="F21" s="183">
        <f>2*31.4</f>
        <v>62.8</v>
      </c>
      <c r="G21" s="183"/>
      <c r="H21" s="183"/>
      <c r="I21" s="363">
        <f>F21*D21</f>
        <v>9.42</v>
      </c>
    </row>
    <row r="22" spans="1:9" ht="20.25" customHeight="1" x14ac:dyDescent="0.3">
      <c r="A22" s="183">
        <v>60</v>
      </c>
      <c r="B22" s="193" t="s">
        <v>650</v>
      </c>
      <c r="C22" s="193" t="s">
        <v>1204</v>
      </c>
      <c r="D22" s="241">
        <v>0.15</v>
      </c>
      <c r="E22" s="183" t="s">
        <v>593</v>
      </c>
      <c r="F22" s="183">
        <v>15.7</v>
      </c>
      <c r="G22" s="183"/>
      <c r="H22" s="183"/>
      <c r="I22" s="363">
        <f>D22*F22</f>
        <v>2.355</v>
      </c>
    </row>
    <row r="23" spans="1:9" ht="28.8" x14ac:dyDescent="0.3">
      <c r="A23" s="183">
        <v>70</v>
      </c>
      <c r="B23" s="180" t="s">
        <v>589</v>
      </c>
      <c r="C23" s="193" t="s">
        <v>1635</v>
      </c>
      <c r="D23" s="241">
        <v>1.3</v>
      </c>
      <c r="E23" s="183" t="s">
        <v>551</v>
      </c>
      <c r="F23" s="183">
        <v>1</v>
      </c>
      <c r="G23" s="180"/>
      <c r="H23" s="183"/>
      <c r="I23" s="362">
        <f>F23*D23</f>
        <v>1.3</v>
      </c>
    </row>
    <row r="24" spans="1:9" ht="28.8" x14ac:dyDescent="0.3">
      <c r="A24" s="183">
        <v>80</v>
      </c>
      <c r="B24" s="180" t="s">
        <v>609</v>
      </c>
      <c r="C24" s="461" t="s">
        <v>1205</v>
      </c>
      <c r="D24" s="241">
        <v>0.04</v>
      </c>
      <c r="E24" s="183" t="s">
        <v>610</v>
      </c>
      <c r="F24" s="183">
        <f>3.02*2</f>
        <v>6.04</v>
      </c>
      <c r="G24" s="180" t="s">
        <v>598</v>
      </c>
      <c r="H24" s="183">
        <v>3</v>
      </c>
      <c r="I24" s="363">
        <f>F24*D24*H24</f>
        <v>0.7248</v>
      </c>
    </row>
    <row r="25" spans="1:9" ht="43.2" x14ac:dyDescent="0.3">
      <c r="A25" s="183">
        <v>90</v>
      </c>
      <c r="B25" s="180" t="s">
        <v>760</v>
      </c>
      <c r="C25" s="193" t="s">
        <v>1206</v>
      </c>
      <c r="D25" s="241">
        <v>0.19</v>
      </c>
      <c r="E25" s="183" t="s">
        <v>551</v>
      </c>
      <c r="F25" s="183">
        <v>1</v>
      </c>
      <c r="G25" s="183"/>
      <c r="H25" s="183"/>
      <c r="I25" s="363">
        <f>D25*F25</f>
        <v>0.19</v>
      </c>
    </row>
    <row r="26" spans="1:9" s="432" customFormat="1" x14ac:dyDescent="0.3">
      <c r="B26" s="278"/>
      <c r="C26" s="278"/>
      <c r="H26" s="338" t="s">
        <v>547</v>
      </c>
      <c r="I26" s="373">
        <f>SUM(I17:I25)</f>
        <v>17.459399999999999</v>
      </c>
    </row>
    <row r="28" spans="1:9" x14ac:dyDescent="0.3">
      <c r="H28" s="326"/>
      <c r="I28" s="293"/>
    </row>
    <row r="29" spans="1:9" s="432" customFormat="1" x14ac:dyDescent="0.3">
      <c r="A29" s="450" t="s">
        <v>544</v>
      </c>
      <c r="B29" s="371" t="s">
        <v>6</v>
      </c>
      <c r="C29" s="371" t="s">
        <v>549</v>
      </c>
      <c r="D29" s="450" t="s">
        <v>550</v>
      </c>
      <c r="E29" s="450" t="s">
        <v>551</v>
      </c>
      <c r="F29" s="450" t="s">
        <v>28</v>
      </c>
      <c r="G29" s="450" t="s">
        <v>691</v>
      </c>
      <c r="H29" s="450" t="s">
        <v>692</v>
      </c>
      <c r="I29" s="371" t="s">
        <v>547</v>
      </c>
    </row>
    <row r="30" spans="1:9" ht="28.8" x14ac:dyDescent="0.3">
      <c r="A30" s="183">
        <v>10</v>
      </c>
      <c r="B30" s="267" t="s">
        <v>693</v>
      </c>
      <c r="C30" s="184" t="s">
        <v>1207</v>
      </c>
      <c r="D30" s="241">
        <v>500</v>
      </c>
      <c r="E30" s="183" t="s">
        <v>1166</v>
      </c>
      <c r="F30" s="183">
        <v>11</v>
      </c>
      <c r="G30" s="183">
        <v>3000</v>
      </c>
      <c r="H30" s="183">
        <v>1</v>
      </c>
      <c r="I30" s="362">
        <f>D30*F30/G30*H30</f>
        <v>1.8333333333333333</v>
      </c>
    </row>
    <row r="31" spans="1:9" s="432" customFormat="1" x14ac:dyDescent="0.3">
      <c r="B31" s="278"/>
      <c r="C31" s="278"/>
      <c r="H31" s="338" t="s">
        <v>547</v>
      </c>
      <c r="I31" s="373">
        <f>SUM(I30:I30)</f>
        <v>1.8333333333333333</v>
      </c>
    </row>
    <row r="32" spans="1:9" x14ac:dyDescent="0.3">
      <c r="H32" s="326"/>
      <c r="I32" s="293"/>
    </row>
  </sheetData>
  <pageMargins left="0.7" right="0.7" top="0.75" bottom="0.75" header="0.3" footer="0.3"/>
  <pageSetup paperSize="9" scale="66" fitToHeight="0" orientation="landscape" r:id="rId1"/>
  <ignoredErrors>
    <ignoredError sqref="I18 I22 I20" formula="1"/>
  </ignoredErrors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9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16.33203125" style="311" customWidth="1"/>
    <col min="3" max="3" width="20" style="311" customWidth="1"/>
    <col min="4" max="4" width="13.5546875" style="311" bestFit="1" customWidth="1"/>
    <col min="5" max="5" width="12.44140625" style="311" customWidth="1"/>
    <col min="6" max="6" width="12" style="311" bestFit="1" customWidth="1"/>
    <col min="7" max="7" width="12" style="311" customWidth="1"/>
    <col min="8" max="8" width="13.88671875" style="311" bestFit="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7.88671875" style="31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394" t="s">
        <v>523</v>
      </c>
      <c r="B1" s="311" t="s">
        <v>524</v>
      </c>
      <c r="J1" s="343" t="s">
        <v>528</v>
      </c>
      <c r="K1" s="163">
        <v>81</v>
      </c>
      <c r="M1" s="394" t="s">
        <v>546</v>
      </c>
      <c r="N1" s="424">
        <f>N12+I17</f>
        <v>1.8929199699999999</v>
      </c>
    </row>
    <row r="2" spans="1:14" x14ac:dyDescent="0.3">
      <c r="A2" s="394" t="s">
        <v>532</v>
      </c>
      <c r="B2" s="311" t="s">
        <v>780</v>
      </c>
      <c r="D2" s="394" t="s">
        <v>536</v>
      </c>
      <c r="M2" s="394" t="s">
        <v>533</v>
      </c>
      <c r="N2" s="425">
        <v>1</v>
      </c>
    </row>
    <row r="3" spans="1:14" x14ac:dyDescent="0.3">
      <c r="A3" s="394" t="s">
        <v>534</v>
      </c>
      <c r="B3" s="311" t="s">
        <v>150</v>
      </c>
      <c r="D3" s="394" t="s">
        <v>538</v>
      </c>
      <c r="J3" s="394" t="s">
        <v>536</v>
      </c>
    </row>
    <row r="4" spans="1:14" x14ac:dyDescent="0.3">
      <c r="A4" s="394" t="s">
        <v>545</v>
      </c>
      <c r="B4" s="166" t="s">
        <v>1138</v>
      </c>
      <c r="D4" s="394" t="s">
        <v>541</v>
      </c>
      <c r="J4" s="394" t="s">
        <v>538</v>
      </c>
      <c r="M4" s="394" t="s">
        <v>539</v>
      </c>
      <c r="N4" s="424">
        <f>N1*N2</f>
        <v>1.8929199699999999</v>
      </c>
    </row>
    <row r="5" spans="1:14" x14ac:dyDescent="0.3">
      <c r="A5" s="394" t="s">
        <v>537</v>
      </c>
      <c r="B5" s="166" t="s">
        <v>158</v>
      </c>
      <c r="J5" s="394" t="s">
        <v>541</v>
      </c>
    </row>
    <row r="6" spans="1:14" x14ac:dyDescent="0.3">
      <c r="A6" s="394" t="s">
        <v>540</v>
      </c>
      <c r="B6" s="311" t="s">
        <v>36</v>
      </c>
    </row>
    <row r="7" spans="1:14" x14ac:dyDescent="0.3">
      <c r="A7" s="394" t="s">
        <v>542</v>
      </c>
      <c r="B7" s="462"/>
    </row>
    <row r="9" spans="1:14" s="432" customFormat="1" x14ac:dyDescent="0.3">
      <c r="A9" s="450" t="s">
        <v>544</v>
      </c>
      <c r="B9" s="450" t="s">
        <v>581</v>
      </c>
      <c r="C9" s="450" t="s">
        <v>549</v>
      </c>
      <c r="D9" s="450" t="s">
        <v>550</v>
      </c>
      <c r="E9" s="450" t="s">
        <v>567</v>
      </c>
      <c r="F9" s="450" t="s">
        <v>568</v>
      </c>
      <c r="G9" s="450" t="s">
        <v>569</v>
      </c>
      <c r="H9" s="450" t="s">
        <v>570</v>
      </c>
      <c r="I9" s="450" t="s">
        <v>582</v>
      </c>
      <c r="J9" s="450" t="s">
        <v>583</v>
      </c>
      <c r="K9" s="450" t="s">
        <v>584</v>
      </c>
      <c r="L9" s="450" t="s">
        <v>585</v>
      </c>
      <c r="M9" s="450" t="s">
        <v>28</v>
      </c>
      <c r="N9" s="450" t="s">
        <v>547</v>
      </c>
    </row>
    <row r="10" spans="1:14" s="471" customFormat="1" ht="28.8" x14ac:dyDescent="0.3">
      <c r="A10" s="421">
        <v>10</v>
      </c>
      <c r="B10" s="381" t="s">
        <v>596</v>
      </c>
      <c r="C10" s="218" t="s">
        <v>1138</v>
      </c>
      <c r="D10" s="463">
        <v>2.25</v>
      </c>
      <c r="E10" s="464">
        <f>J10*K10*L10</f>
        <v>2.4853319999999998E-2</v>
      </c>
      <c r="F10" s="218" t="s">
        <v>856</v>
      </c>
      <c r="G10" s="421"/>
      <c r="H10" s="465"/>
      <c r="I10" s="466" t="s">
        <v>1208</v>
      </c>
      <c r="J10" s="467">
        <f>51*31/1000000</f>
        <v>1.5809999999999999E-3</v>
      </c>
      <c r="K10" s="468">
        <v>2E-3</v>
      </c>
      <c r="L10" s="469">
        <v>7860</v>
      </c>
      <c r="M10" s="415">
        <v>1</v>
      </c>
      <c r="N10" s="470">
        <f>IF(J10="",D10*M10,D10*J10*K10*L10*M10)</f>
        <v>5.5919969999999992E-2</v>
      </c>
    </row>
    <row r="11" spans="1:14" s="471" customFormat="1" ht="28.8" x14ac:dyDescent="0.3">
      <c r="A11" s="421">
        <v>20</v>
      </c>
      <c r="B11" s="381" t="s">
        <v>625</v>
      </c>
      <c r="C11" s="183" t="s">
        <v>1209</v>
      </c>
      <c r="D11" s="241">
        <v>10</v>
      </c>
      <c r="E11" s="357">
        <f>26*30/1000000</f>
        <v>7.7999999999999999E-4</v>
      </c>
      <c r="F11" s="183" t="s">
        <v>1210</v>
      </c>
      <c r="G11" s="183"/>
      <c r="H11" s="204"/>
      <c r="I11" s="419" t="s">
        <v>1211</v>
      </c>
      <c r="J11" s="467">
        <f>26*30/1000000</f>
        <v>7.7999999999999999E-4</v>
      </c>
      <c r="K11" s="204"/>
      <c r="L11" s="206"/>
      <c r="M11" s="472">
        <v>2</v>
      </c>
      <c r="N11" s="385">
        <f>E11*D11</f>
        <v>7.7999999999999996E-3</v>
      </c>
    </row>
    <row r="12" spans="1:14" s="432" customFormat="1" x14ac:dyDescent="0.3">
      <c r="M12" s="344" t="s">
        <v>547</v>
      </c>
      <c r="N12" s="473">
        <f>SUM(N10:N10)</f>
        <v>5.5919969999999992E-2</v>
      </c>
    </row>
    <row r="14" spans="1:14" s="432" customFormat="1" x14ac:dyDescent="0.3">
      <c r="A14" s="450" t="s">
        <v>544</v>
      </c>
      <c r="B14" s="450" t="s">
        <v>548</v>
      </c>
      <c r="C14" s="450" t="s">
        <v>549</v>
      </c>
      <c r="D14" s="450" t="s">
        <v>550</v>
      </c>
      <c r="E14" s="450" t="s">
        <v>551</v>
      </c>
      <c r="F14" s="450" t="s">
        <v>28</v>
      </c>
      <c r="G14" s="450" t="s">
        <v>552</v>
      </c>
      <c r="H14" s="450" t="s">
        <v>553</v>
      </c>
      <c r="I14" s="450" t="s">
        <v>547</v>
      </c>
    </row>
    <row r="15" spans="1:14" s="432" customFormat="1" ht="28.8" x14ac:dyDescent="0.3">
      <c r="A15" s="183">
        <v>10</v>
      </c>
      <c r="B15" s="193" t="s">
        <v>589</v>
      </c>
      <c r="C15" s="193" t="s">
        <v>590</v>
      </c>
      <c r="D15" s="241">
        <v>1.3</v>
      </c>
      <c r="E15" s="183" t="s">
        <v>551</v>
      </c>
      <c r="F15" s="183">
        <v>1</v>
      </c>
      <c r="G15" s="180"/>
      <c r="H15" s="183"/>
      <c r="I15" s="385">
        <f>F15*D15</f>
        <v>1.3</v>
      </c>
    </row>
    <row r="16" spans="1:14" ht="33" customHeight="1" x14ac:dyDescent="0.3">
      <c r="A16" s="183">
        <v>20</v>
      </c>
      <c r="B16" s="414" t="s">
        <v>591</v>
      </c>
      <c r="C16" s="414" t="s">
        <v>700</v>
      </c>
      <c r="D16" s="241">
        <v>0.01</v>
      </c>
      <c r="E16" s="183" t="s">
        <v>593</v>
      </c>
      <c r="F16" s="183">
        <v>17.899999999999999</v>
      </c>
      <c r="G16" s="180" t="s">
        <v>598</v>
      </c>
      <c r="H16" s="183">
        <v>3</v>
      </c>
      <c r="I16" s="385">
        <f>D16*F16*H16</f>
        <v>0.53699999999999992</v>
      </c>
    </row>
    <row r="17" spans="8:9" s="432" customFormat="1" x14ac:dyDescent="0.3">
      <c r="H17" s="344" t="s">
        <v>547</v>
      </c>
      <c r="I17" s="473">
        <f>SUM(I15:I16)</f>
        <v>1.837</v>
      </c>
    </row>
    <row r="19" spans="8:9" x14ac:dyDescent="0.3">
      <c r="H19" s="326"/>
      <c r="I19" s="447"/>
    </row>
  </sheetData>
  <pageMargins left="0.7" right="0.7" top="0.75" bottom="0.75" header="0.3" footer="0.3"/>
  <pageSetup paperSize="9" scale="65" fitToHeight="0" orientation="landscape" r:id="rId1"/>
  <ignoredErrors>
    <ignoredError sqref="I16" formula="1"/>
  </ignoredErrors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53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22.88671875" style="311" customWidth="1"/>
    <col min="3" max="3" width="19.664062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0.109375" style="311" bestFit="1" customWidth="1"/>
    <col min="8" max="8" width="13.88671875" style="311" bestFit="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8.109375" style="31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394" t="s">
        <v>523</v>
      </c>
      <c r="B1" s="311" t="s">
        <v>524</v>
      </c>
      <c r="J1" s="343" t="s">
        <v>528</v>
      </c>
      <c r="K1" s="163">
        <v>81</v>
      </c>
      <c r="M1" s="394" t="s">
        <v>546</v>
      </c>
      <c r="N1" s="424">
        <f>N12+I17</f>
        <v>2.000593195</v>
      </c>
    </row>
    <row r="2" spans="1:14" x14ac:dyDescent="0.3">
      <c r="A2" s="394" t="s">
        <v>532</v>
      </c>
      <c r="B2" s="311" t="s">
        <v>780</v>
      </c>
      <c r="D2" s="394" t="s">
        <v>536</v>
      </c>
      <c r="M2" s="394" t="s">
        <v>533</v>
      </c>
      <c r="N2" s="425">
        <v>1</v>
      </c>
    </row>
    <row r="3" spans="1:14" x14ac:dyDescent="0.3">
      <c r="A3" s="394" t="s">
        <v>534</v>
      </c>
      <c r="B3" s="311" t="s">
        <v>150</v>
      </c>
      <c r="D3" s="394" t="s">
        <v>538</v>
      </c>
      <c r="J3" s="394" t="s">
        <v>536</v>
      </c>
    </row>
    <row r="4" spans="1:14" x14ac:dyDescent="0.3">
      <c r="A4" s="394" t="s">
        <v>545</v>
      </c>
      <c r="B4" s="166" t="s">
        <v>1139</v>
      </c>
      <c r="D4" s="394" t="s">
        <v>541</v>
      </c>
      <c r="J4" s="394" t="s">
        <v>538</v>
      </c>
      <c r="M4" s="394" t="s">
        <v>539</v>
      </c>
      <c r="N4" s="424">
        <f>N1*N2</f>
        <v>2.000593195</v>
      </c>
    </row>
    <row r="5" spans="1:14" x14ac:dyDescent="0.3">
      <c r="A5" s="394" t="s">
        <v>537</v>
      </c>
      <c r="B5" s="166" t="s">
        <v>159</v>
      </c>
      <c r="J5" s="394" t="s">
        <v>541</v>
      </c>
    </row>
    <row r="6" spans="1:14" x14ac:dyDescent="0.3">
      <c r="A6" s="394" t="s">
        <v>540</v>
      </c>
      <c r="B6" s="311" t="s">
        <v>36</v>
      </c>
    </row>
    <row r="7" spans="1:14" x14ac:dyDescent="0.3">
      <c r="A7" s="394" t="s">
        <v>542</v>
      </c>
      <c r="B7" s="462"/>
    </row>
    <row r="9" spans="1:14" s="432" customFormat="1" x14ac:dyDescent="0.3">
      <c r="A9" s="450" t="s">
        <v>544</v>
      </c>
      <c r="B9" s="450" t="s">
        <v>581</v>
      </c>
      <c r="C9" s="450" t="s">
        <v>549</v>
      </c>
      <c r="D9" s="450" t="s">
        <v>550</v>
      </c>
      <c r="E9" s="450" t="s">
        <v>567</v>
      </c>
      <c r="F9" s="450" t="s">
        <v>568</v>
      </c>
      <c r="G9" s="450" t="s">
        <v>569</v>
      </c>
      <c r="H9" s="450" t="s">
        <v>570</v>
      </c>
      <c r="I9" s="450" t="s">
        <v>582</v>
      </c>
      <c r="J9" s="450" t="s">
        <v>583</v>
      </c>
      <c r="K9" s="450" t="s">
        <v>584</v>
      </c>
      <c r="L9" s="450" t="s">
        <v>585</v>
      </c>
      <c r="M9" s="450" t="s">
        <v>28</v>
      </c>
      <c r="N9" s="450" t="s">
        <v>547</v>
      </c>
    </row>
    <row r="10" spans="1:14" ht="28.8" x14ac:dyDescent="0.3">
      <c r="A10" s="421">
        <v>10</v>
      </c>
      <c r="B10" s="381" t="s">
        <v>596</v>
      </c>
      <c r="C10" s="218" t="s">
        <v>1139</v>
      </c>
      <c r="D10" s="463">
        <v>2.25</v>
      </c>
      <c r="E10" s="464">
        <f>J10*K10*L10</f>
        <v>4.1241420000000001E-2</v>
      </c>
      <c r="F10" s="218" t="s">
        <v>856</v>
      </c>
      <c r="G10" s="421"/>
      <c r="H10" s="465"/>
      <c r="I10" s="466" t="s">
        <v>1212</v>
      </c>
      <c r="J10" s="467">
        <f>53*33/1000000</f>
        <v>1.7489999999999999E-3</v>
      </c>
      <c r="K10" s="468">
        <v>3.0000000000000001E-3</v>
      </c>
      <c r="L10" s="469">
        <v>7860</v>
      </c>
      <c r="M10" s="415">
        <v>1</v>
      </c>
      <c r="N10" s="470">
        <f>IF(J10="",D10*M10,D10*J10*K10*L10*M10)</f>
        <v>9.2793194999999995E-2</v>
      </c>
    </row>
    <row r="11" spans="1:14" ht="28.8" x14ac:dyDescent="0.3">
      <c r="A11" s="421">
        <v>20</v>
      </c>
      <c r="B11" s="381" t="s">
        <v>625</v>
      </c>
      <c r="C11" s="218" t="s">
        <v>1209</v>
      </c>
      <c r="D11" s="463">
        <v>10</v>
      </c>
      <c r="E11" s="464">
        <f>26*30/1000000</f>
        <v>7.7999999999999999E-4</v>
      </c>
      <c r="F11" s="218" t="s">
        <v>1210</v>
      </c>
      <c r="G11" s="421"/>
      <c r="H11" s="465"/>
      <c r="I11" s="466" t="s">
        <v>1211</v>
      </c>
      <c r="J11" s="467">
        <f>26*30/1000000</f>
        <v>7.7999999999999999E-4</v>
      </c>
      <c r="K11" s="468"/>
      <c r="L11" s="469"/>
      <c r="M11" s="415">
        <v>2</v>
      </c>
      <c r="N11" s="470">
        <f>E11*D11</f>
        <v>7.7999999999999996E-3</v>
      </c>
    </row>
    <row r="12" spans="1:14" s="432" customFormat="1" x14ac:dyDescent="0.3">
      <c r="M12" s="338" t="s">
        <v>547</v>
      </c>
      <c r="N12" s="453">
        <f>SUM(N10:N11)</f>
        <v>0.100593195</v>
      </c>
    </row>
    <row r="14" spans="1:14" s="432" customFormat="1" x14ac:dyDescent="0.3">
      <c r="A14" s="450" t="s">
        <v>544</v>
      </c>
      <c r="B14" s="450" t="s">
        <v>548</v>
      </c>
      <c r="C14" s="450" t="s">
        <v>549</v>
      </c>
      <c r="D14" s="450" t="s">
        <v>550</v>
      </c>
      <c r="E14" s="450" t="s">
        <v>551</v>
      </c>
      <c r="F14" s="450" t="s">
        <v>28</v>
      </c>
      <c r="G14" s="450" t="s">
        <v>552</v>
      </c>
      <c r="H14" s="450" t="s">
        <v>553</v>
      </c>
      <c r="I14" s="450" t="s">
        <v>547</v>
      </c>
    </row>
    <row r="15" spans="1:14" s="432" customFormat="1" ht="28.8" x14ac:dyDescent="0.3">
      <c r="A15" s="183">
        <v>10</v>
      </c>
      <c r="B15" s="193" t="s">
        <v>589</v>
      </c>
      <c r="C15" s="193" t="s">
        <v>590</v>
      </c>
      <c r="D15" s="241">
        <v>1.3</v>
      </c>
      <c r="E15" s="183" t="s">
        <v>551</v>
      </c>
      <c r="F15" s="183">
        <v>1</v>
      </c>
      <c r="G15" s="180"/>
      <c r="H15" s="183"/>
      <c r="I15" s="385">
        <f>F15*D15</f>
        <v>1.3</v>
      </c>
    </row>
    <row r="16" spans="1:14" ht="28.8" x14ac:dyDescent="0.3">
      <c r="A16" s="183">
        <v>20</v>
      </c>
      <c r="B16" s="414" t="s">
        <v>591</v>
      </c>
      <c r="C16" s="414" t="s">
        <v>700</v>
      </c>
      <c r="D16" s="241">
        <v>0.01</v>
      </c>
      <c r="E16" s="183" t="s">
        <v>593</v>
      </c>
      <c r="F16" s="183">
        <v>20</v>
      </c>
      <c r="G16" s="180" t="s">
        <v>598</v>
      </c>
      <c r="H16" s="183">
        <v>3</v>
      </c>
      <c r="I16" s="385">
        <f>D16*F16*H16</f>
        <v>0.60000000000000009</v>
      </c>
    </row>
    <row r="17" spans="8:9" s="432" customFormat="1" x14ac:dyDescent="0.3">
      <c r="H17" s="338" t="s">
        <v>547</v>
      </c>
      <c r="I17" s="453">
        <f>I15+I16</f>
        <v>1.9000000000000001</v>
      </c>
    </row>
    <row r="19" spans="8:9" x14ac:dyDescent="0.3">
      <c r="H19" s="326"/>
      <c r="I19" s="447"/>
    </row>
    <row r="53" ht="17.25" customHeight="1" x14ac:dyDescent="0.3"/>
  </sheetData>
  <pageMargins left="0.7" right="0.7" top="0.75" bottom="0.75" header="0.3" footer="0.3"/>
  <pageSetup paperSize="9" scale="63" fitToHeight="0" orientation="landscape" r:id="rId1"/>
  <ignoredErrors>
    <ignoredError sqref="I16" formula="1"/>
  </ignoredErrors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24.88671875" style="311" customWidth="1"/>
    <col min="3" max="3" width="21.664062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6.5546875" style="311" customWidth="1"/>
    <col min="8" max="8" width="13.88671875" style="311" bestFit="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8.33203125" style="31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394" t="s">
        <v>523</v>
      </c>
      <c r="B1" s="311" t="s">
        <v>524</v>
      </c>
      <c r="J1" s="343" t="s">
        <v>528</v>
      </c>
      <c r="K1" s="163">
        <v>81</v>
      </c>
      <c r="M1" s="394" t="s">
        <v>546</v>
      </c>
      <c r="N1" s="424">
        <f>N12+I17</f>
        <v>1.7337772</v>
      </c>
    </row>
    <row r="2" spans="1:14" x14ac:dyDescent="0.3">
      <c r="A2" s="394" t="s">
        <v>532</v>
      </c>
      <c r="B2" s="311" t="s">
        <v>780</v>
      </c>
      <c r="D2" s="394" t="s">
        <v>536</v>
      </c>
      <c r="M2" s="394" t="s">
        <v>533</v>
      </c>
      <c r="N2" s="425">
        <v>1</v>
      </c>
    </row>
    <row r="3" spans="1:14" x14ac:dyDescent="0.3">
      <c r="A3" s="394" t="s">
        <v>534</v>
      </c>
      <c r="B3" s="311" t="s">
        <v>150</v>
      </c>
      <c r="D3" s="394" t="s">
        <v>538</v>
      </c>
      <c r="J3" s="394" t="s">
        <v>536</v>
      </c>
    </row>
    <row r="4" spans="1:14" x14ac:dyDescent="0.3">
      <c r="A4" s="394" t="s">
        <v>545</v>
      </c>
      <c r="B4" s="166" t="s">
        <v>1140</v>
      </c>
      <c r="D4" s="394" t="s">
        <v>541</v>
      </c>
      <c r="J4" s="394" t="s">
        <v>538</v>
      </c>
      <c r="M4" s="394" t="s">
        <v>539</v>
      </c>
      <c r="N4" s="424">
        <f>N1*N2</f>
        <v>1.7337772</v>
      </c>
    </row>
    <row r="5" spans="1:14" x14ac:dyDescent="0.3">
      <c r="A5" s="394" t="s">
        <v>537</v>
      </c>
      <c r="B5" s="166" t="s">
        <v>160</v>
      </c>
      <c r="J5" s="394" t="s">
        <v>541</v>
      </c>
    </row>
    <row r="6" spans="1:14" x14ac:dyDescent="0.3">
      <c r="A6" s="394" t="s">
        <v>540</v>
      </c>
      <c r="B6" s="311" t="s">
        <v>36</v>
      </c>
    </row>
    <row r="7" spans="1:14" x14ac:dyDescent="0.3">
      <c r="A7" s="394" t="s">
        <v>542</v>
      </c>
    </row>
    <row r="9" spans="1:14" s="432" customFormat="1" x14ac:dyDescent="0.3">
      <c r="A9" s="450" t="s">
        <v>544</v>
      </c>
      <c r="B9" s="450" t="s">
        <v>581</v>
      </c>
      <c r="C9" s="450" t="s">
        <v>549</v>
      </c>
      <c r="D9" s="450" t="s">
        <v>550</v>
      </c>
      <c r="E9" s="450" t="s">
        <v>567</v>
      </c>
      <c r="F9" s="450" t="s">
        <v>568</v>
      </c>
      <c r="G9" s="450" t="s">
        <v>569</v>
      </c>
      <c r="H9" s="450" t="s">
        <v>570</v>
      </c>
      <c r="I9" s="450" t="s">
        <v>582</v>
      </c>
      <c r="J9" s="450" t="s">
        <v>583</v>
      </c>
      <c r="K9" s="450" t="s">
        <v>584</v>
      </c>
      <c r="L9" s="450" t="s">
        <v>585</v>
      </c>
      <c r="M9" s="450" t="s">
        <v>28</v>
      </c>
      <c r="N9" s="450" t="s">
        <v>547</v>
      </c>
    </row>
    <row r="10" spans="1:14" ht="28.8" x14ac:dyDescent="0.3">
      <c r="A10" s="183">
        <v>10</v>
      </c>
      <c r="B10" s="381" t="s">
        <v>596</v>
      </c>
      <c r="C10" s="218" t="s">
        <v>1140</v>
      </c>
      <c r="D10" s="463">
        <v>2.25</v>
      </c>
      <c r="E10" s="459">
        <f>L10*J10*K10</f>
        <v>2.4523199999999998E-2</v>
      </c>
      <c r="F10" s="183" t="s">
        <v>856</v>
      </c>
      <c r="G10" s="183"/>
      <c r="H10" s="204"/>
      <c r="I10" s="269" t="s">
        <v>1211</v>
      </c>
      <c r="J10" s="206">
        <f>26*30/1000000</f>
        <v>7.7999999999999999E-4</v>
      </c>
      <c r="K10" s="207">
        <v>4.0000000000000001E-3</v>
      </c>
      <c r="L10" s="469">
        <v>7860</v>
      </c>
      <c r="M10" s="431">
        <v>1</v>
      </c>
      <c r="N10" s="385">
        <f>IF(J10="",D10*M10,D10*J10*K10*L10*M10)</f>
        <v>5.5177200000000003E-2</v>
      </c>
    </row>
    <row r="11" spans="1:14" ht="28.8" x14ac:dyDescent="0.3">
      <c r="A11" s="183">
        <v>20</v>
      </c>
      <c r="B11" s="190" t="s">
        <v>625</v>
      </c>
      <c r="C11" s="183" t="s">
        <v>1209</v>
      </c>
      <c r="D11" s="241">
        <v>10</v>
      </c>
      <c r="E11" s="206">
        <f>26*30/1000000</f>
        <v>7.7999999999999999E-4</v>
      </c>
      <c r="F11" s="183" t="s">
        <v>1210</v>
      </c>
      <c r="G11" s="183"/>
      <c r="H11" s="204"/>
      <c r="I11" s="419" t="s">
        <v>1211</v>
      </c>
      <c r="J11" s="206">
        <f>26*30/1000000</f>
        <v>7.7999999999999999E-4</v>
      </c>
      <c r="K11" s="204"/>
      <c r="L11" s="206"/>
      <c r="M11" s="431">
        <v>2</v>
      </c>
      <c r="N11" s="385">
        <f>D11*E11*M11</f>
        <v>1.5599999999999999E-2</v>
      </c>
    </row>
    <row r="12" spans="1:14" s="432" customFormat="1" x14ac:dyDescent="0.3">
      <c r="M12" s="338" t="s">
        <v>547</v>
      </c>
      <c r="N12" s="453">
        <f>SUM(N10:N11)</f>
        <v>7.0777199999999998E-2</v>
      </c>
    </row>
    <row r="14" spans="1:14" s="432" customFormat="1" x14ac:dyDescent="0.3">
      <c r="A14" s="450" t="s">
        <v>544</v>
      </c>
      <c r="B14" s="450" t="s">
        <v>548</v>
      </c>
      <c r="C14" s="450" t="s">
        <v>549</v>
      </c>
      <c r="D14" s="450" t="s">
        <v>550</v>
      </c>
      <c r="E14" s="450" t="s">
        <v>551</v>
      </c>
      <c r="F14" s="450" t="s">
        <v>28</v>
      </c>
      <c r="G14" s="450" t="s">
        <v>552</v>
      </c>
      <c r="H14" s="450" t="s">
        <v>553</v>
      </c>
      <c r="I14" s="450" t="s">
        <v>547</v>
      </c>
    </row>
    <row r="15" spans="1:14" s="432" customFormat="1" ht="28.8" x14ac:dyDescent="0.3">
      <c r="A15" s="183">
        <v>10</v>
      </c>
      <c r="B15" s="193" t="s">
        <v>589</v>
      </c>
      <c r="C15" s="193" t="s">
        <v>590</v>
      </c>
      <c r="D15" s="241">
        <v>1.3</v>
      </c>
      <c r="E15" s="183" t="s">
        <v>551</v>
      </c>
      <c r="F15" s="183">
        <v>1</v>
      </c>
      <c r="G15" s="180"/>
      <c r="H15" s="183"/>
      <c r="I15" s="385">
        <f>F15*D15</f>
        <v>1.3</v>
      </c>
    </row>
    <row r="16" spans="1:14" x14ac:dyDescent="0.3">
      <c r="A16" s="183">
        <v>20</v>
      </c>
      <c r="B16" s="414" t="s">
        <v>591</v>
      </c>
      <c r="C16" s="414" t="s">
        <v>1213</v>
      </c>
      <c r="D16" s="241">
        <v>0.01</v>
      </c>
      <c r="E16" s="183" t="s">
        <v>593</v>
      </c>
      <c r="F16" s="183">
        <v>12.1</v>
      </c>
      <c r="G16" s="180" t="s">
        <v>598</v>
      </c>
      <c r="H16" s="183">
        <v>3</v>
      </c>
      <c r="I16" s="385">
        <f>D16*F16*H16</f>
        <v>0.36299999999999999</v>
      </c>
    </row>
    <row r="17" spans="8:9" s="432" customFormat="1" x14ac:dyDescent="0.3">
      <c r="H17" s="344" t="s">
        <v>547</v>
      </c>
      <c r="I17" s="473">
        <f>SUM(I15:I16)</f>
        <v>1.663</v>
      </c>
    </row>
  </sheetData>
  <pageMargins left="0.7" right="0.7" top="0.75" bottom="0.75" header="0.3" footer="0.3"/>
  <pageSetup paperSize="9" scale="60" fitToHeight="0" orientation="landscape" r:id="rId1"/>
  <ignoredErrors>
    <ignoredError sqref="I16" formula="1"/>
  </ignoredError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17"/>
  <sheetViews>
    <sheetView showGridLines="0" workbookViewId="0"/>
  </sheetViews>
  <sheetFormatPr defaultColWidth="9.109375" defaultRowHeight="14.4" x14ac:dyDescent="0.3"/>
  <cols>
    <col min="1" max="1" width="15" style="311" bestFit="1" customWidth="1"/>
    <col min="2" max="2" width="24.88671875" style="311" customWidth="1"/>
    <col min="3" max="3" width="21.6640625" style="311" customWidth="1"/>
    <col min="4" max="4" width="13.5546875" style="311" bestFit="1" customWidth="1"/>
    <col min="5" max="5" width="14.109375" style="311" bestFit="1" customWidth="1"/>
    <col min="6" max="6" width="12" style="311" bestFit="1" customWidth="1"/>
    <col min="7" max="7" width="16.5546875" style="311" customWidth="1"/>
    <col min="8" max="8" width="13.88671875" style="311" bestFit="1" customWidth="1"/>
    <col min="9" max="9" width="15.5546875" style="311" bestFit="1" customWidth="1"/>
    <col min="10" max="10" width="13.88671875" style="311" bestFit="1" customWidth="1"/>
    <col min="11" max="11" width="10.44140625" style="311" bestFit="1" customWidth="1"/>
    <col min="12" max="12" width="11.33203125" style="311" bestFit="1" customWidth="1"/>
    <col min="13" max="13" width="17.88671875" style="311" customWidth="1"/>
    <col min="14" max="14" width="15" style="311" bestFit="1" customWidth="1"/>
    <col min="15" max="15" width="9.109375" style="311"/>
    <col min="16" max="16" width="9.44140625" style="311" bestFit="1" customWidth="1"/>
    <col min="17" max="18" width="9.109375" style="311"/>
    <col min="19" max="19" width="10.44140625" style="311" bestFit="1" customWidth="1"/>
    <col min="20" max="20" width="9.44140625" style="311" bestFit="1" customWidth="1"/>
    <col min="21" max="21" width="9.109375" style="311"/>
    <col min="22" max="22" width="9.44140625" style="311" bestFit="1" customWidth="1"/>
    <col min="23" max="23" width="9.109375" style="311"/>
    <col min="24" max="25" width="10.109375" style="311" bestFit="1" customWidth="1"/>
    <col min="26" max="28" width="9.33203125" style="311" bestFit="1" customWidth="1"/>
    <col min="29" max="16384" width="9.109375" style="311"/>
  </cols>
  <sheetData>
    <row r="1" spans="1:14" x14ac:dyDescent="0.3">
      <c r="A1" s="394" t="s">
        <v>523</v>
      </c>
      <c r="B1" s="311" t="s">
        <v>524</v>
      </c>
      <c r="J1" s="343" t="s">
        <v>528</v>
      </c>
      <c r="K1" s="163">
        <v>81</v>
      </c>
      <c r="M1" s="394" t="s">
        <v>546</v>
      </c>
      <c r="N1" s="424">
        <f>N11+I17</f>
        <v>1.4804854999999999</v>
      </c>
    </row>
    <row r="2" spans="1:14" x14ac:dyDescent="0.3">
      <c r="A2" s="394" t="s">
        <v>532</v>
      </c>
      <c r="B2" s="311" t="s">
        <v>780</v>
      </c>
      <c r="D2" s="394" t="s">
        <v>536</v>
      </c>
      <c r="M2" s="394" t="s">
        <v>533</v>
      </c>
      <c r="N2" s="425">
        <v>1</v>
      </c>
    </row>
    <row r="3" spans="1:14" x14ac:dyDescent="0.3">
      <c r="A3" s="394" t="s">
        <v>534</v>
      </c>
      <c r="B3" s="311" t="s">
        <v>150</v>
      </c>
      <c r="D3" s="394" t="s">
        <v>538</v>
      </c>
      <c r="J3" s="394" t="s">
        <v>536</v>
      </c>
    </row>
    <row r="4" spans="1:14" x14ac:dyDescent="0.3">
      <c r="A4" s="394" t="s">
        <v>545</v>
      </c>
      <c r="B4" s="166" t="s">
        <v>1141</v>
      </c>
      <c r="D4" s="394" t="s">
        <v>541</v>
      </c>
      <c r="J4" s="394" t="s">
        <v>538</v>
      </c>
      <c r="M4" s="394" t="s">
        <v>539</v>
      </c>
      <c r="N4" s="424">
        <f>N1*N2</f>
        <v>1.4804854999999999</v>
      </c>
    </row>
    <row r="5" spans="1:14" x14ac:dyDescent="0.3">
      <c r="A5" s="394" t="s">
        <v>537</v>
      </c>
      <c r="B5" s="166" t="s">
        <v>161</v>
      </c>
      <c r="J5" s="394" t="s">
        <v>541</v>
      </c>
    </row>
    <row r="6" spans="1:14" x14ac:dyDescent="0.3">
      <c r="A6" s="394" t="s">
        <v>540</v>
      </c>
      <c r="B6" s="311" t="s">
        <v>36</v>
      </c>
    </row>
    <row r="7" spans="1:14" x14ac:dyDescent="0.3">
      <c r="A7" s="394" t="s">
        <v>542</v>
      </c>
      <c r="B7" s="311" t="s">
        <v>1214</v>
      </c>
    </row>
    <row r="9" spans="1:14" s="432" customFormat="1" x14ac:dyDescent="0.3">
      <c r="A9" s="450" t="s">
        <v>544</v>
      </c>
      <c r="B9" s="450" t="s">
        <v>581</v>
      </c>
      <c r="C9" s="450" t="s">
        <v>549</v>
      </c>
      <c r="D9" s="450" t="s">
        <v>550</v>
      </c>
      <c r="E9" s="450" t="s">
        <v>567</v>
      </c>
      <c r="F9" s="450" t="s">
        <v>568</v>
      </c>
      <c r="G9" s="450" t="s">
        <v>569</v>
      </c>
      <c r="H9" s="450" t="s">
        <v>570</v>
      </c>
      <c r="I9" s="450" t="s">
        <v>582</v>
      </c>
      <c r="J9" s="450" t="s">
        <v>583</v>
      </c>
      <c r="K9" s="450" t="s">
        <v>584</v>
      </c>
      <c r="L9" s="450" t="s">
        <v>585</v>
      </c>
      <c r="M9" s="450" t="s">
        <v>28</v>
      </c>
      <c r="N9" s="450" t="s">
        <v>547</v>
      </c>
    </row>
    <row r="10" spans="1:14" x14ac:dyDescent="0.3">
      <c r="A10" s="183">
        <v>10</v>
      </c>
      <c r="B10" s="381" t="s">
        <v>1032</v>
      </c>
      <c r="C10" s="183" t="s">
        <v>1141</v>
      </c>
      <c r="D10" s="241">
        <v>4.2</v>
      </c>
      <c r="E10" s="183">
        <v>15</v>
      </c>
      <c r="F10" s="183" t="s">
        <v>573</v>
      </c>
      <c r="G10" s="183">
        <v>3</v>
      </c>
      <c r="H10" s="204" t="s">
        <v>573</v>
      </c>
      <c r="I10" s="205" t="s">
        <v>603</v>
      </c>
      <c r="J10" s="206">
        <f>E10*G10*10^-6</f>
        <v>4.4999999999999996E-5</v>
      </c>
      <c r="K10" s="204">
        <v>0.45</v>
      </c>
      <c r="L10" s="204">
        <v>2710</v>
      </c>
      <c r="M10" s="472">
        <v>1</v>
      </c>
      <c r="N10" s="385">
        <f>IF(J10="",D10*M10,D10*J10*K10*L10*M10)</f>
        <v>0.23048549999999998</v>
      </c>
    </row>
    <row r="11" spans="1:14" s="432" customFormat="1" x14ac:dyDescent="0.3">
      <c r="M11" s="338" t="s">
        <v>547</v>
      </c>
      <c r="N11" s="453">
        <f>SUM(N10:N10)</f>
        <v>0.23048549999999998</v>
      </c>
    </row>
    <row r="13" spans="1:14" s="432" customFormat="1" x14ac:dyDescent="0.3">
      <c r="A13" s="450" t="s">
        <v>544</v>
      </c>
      <c r="B13" s="450" t="s">
        <v>548</v>
      </c>
      <c r="C13" s="450" t="s">
        <v>549</v>
      </c>
      <c r="D13" s="450" t="s">
        <v>550</v>
      </c>
      <c r="E13" s="450" t="s">
        <v>551</v>
      </c>
      <c r="F13" s="450" t="s">
        <v>28</v>
      </c>
      <c r="G13" s="450" t="s">
        <v>552</v>
      </c>
      <c r="H13" s="450" t="s">
        <v>553</v>
      </c>
      <c r="I13" s="450" t="s">
        <v>547</v>
      </c>
    </row>
    <row r="14" spans="1:14" x14ac:dyDescent="0.3">
      <c r="A14" s="183">
        <v>10</v>
      </c>
      <c r="B14" s="315" t="s">
        <v>1215</v>
      </c>
      <c r="C14" s="414" t="s">
        <v>1216</v>
      </c>
      <c r="D14" s="241">
        <v>0.2</v>
      </c>
      <c r="E14" s="183" t="s">
        <v>593</v>
      </c>
      <c r="F14" s="183">
        <v>1.5</v>
      </c>
      <c r="G14" s="183"/>
      <c r="H14" s="183"/>
      <c r="I14" s="385">
        <f>D14*F14</f>
        <v>0.30000000000000004</v>
      </c>
    </row>
    <row r="15" spans="1:14" x14ac:dyDescent="0.3">
      <c r="A15" s="183">
        <v>20</v>
      </c>
      <c r="B15" s="180" t="s">
        <v>791</v>
      </c>
      <c r="C15" s="193" t="s">
        <v>1217</v>
      </c>
      <c r="D15" s="241">
        <v>0.35</v>
      </c>
      <c r="E15" s="183" t="s">
        <v>551</v>
      </c>
      <c r="F15" s="183">
        <v>2</v>
      </c>
      <c r="G15" s="183"/>
      <c r="H15" s="183"/>
      <c r="I15" s="385">
        <f>D15*F15</f>
        <v>0.7</v>
      </c>
    </row>
    <row r="16" spans="1:14" x14ac:dyDescent="0.3">
      <c r="A16" s="183">
        <v>30</v>
      </c>
      <c r="B16" s="180" t="s">
        <v>702</v>
      </c>
      <c r="C16" s="414" t="s">
        <v>1218</v>
      </c>
      <c r="D16" s="241">
        <v>0.25</v>
      </c>
      <c r="E16" s="183" t="s">
        <v>1219</v>
      </c>
      <c r="F16" s="183">
        <v>1</v>
      </c>
      <c r="G16" s="183"/>
      <c r="H16" s="183"/>
      <c r="I16" s="385">
        <f>F16*D16</f>
        <v>0.25</v>
      </c>
    </row>
    <row r="17" spans="8:9" s="432" customFormat="1" x14ac:dyDescent="0.3">
      <c r="H17" s="338" t="s">
        <v>547</v>
      </c>
      <c r="I17" s="453">
        <f>SUM(I14:I16)</f>
        <v>1.25</v>
      </c>
    </row>
  </sheetData>
  <pageMargins left="0.7" right="0.7" top="0.75" bottom="0.75" header="0.3" footer="0.3"/>
  <pageSetup paperSize="9" scale="60" fitToHeight="0" orientation="landscape"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499984740745262"/>
    <pageSetUpPr fitToPage="1"/>
  </sheetPr>
  <dimension ref="A1:O47"/>
  <sheetViews>
    <sheetView showGridLines="0" workbookViewId="0"/>
  </sheetViews>
  <sheetFormatPr defaultColWidth="11.5546875" defaultRowHeight="14.4" x14ac:dyDescent="0.3"/>
  <cols>
    <col min="1" max="1" width="14.5546875" customWidth="1"/>
    <col min="2" max="2" width="39.109375" customWidth="1"/>
    <col min="3" max="3" width="34" customWidth="1"/>
    <col min="4" max="4" width="15.109375" bestFit="1" customWidth="1"/>
    <col min="5" max="5" width="16.109375" bestFit="1" customWidth="1"/>
    <col min="6" max="6" width="14.109375" bestFit="1" customWidth="1"/>
    <col min="7" max="7" width="16.44140625" bestFit="1" customWidth="1"/>
    <col min="8" max="8" width="24.6640625" bestFit="1" customWidth="1"/>
    <col min="9" max="9" width="16.44140625" bestFit="1" customWidth="1"/>
    <col min="10" max="10" width="15.109375" bestFit="1" customWidth="1"/>
    <col min="11" max="11" width="11.88671875" bestFit="1" customWidth="1"/>
    <col min="12" max="12" width="13.109375" bestFit="1" customWidth="1"/>
    <col min="13" max="13" width="21.109375" bestFit="1" customWidth="1"/>
    <col min="14" max="14" width="15.109375" bestFit="1" customWidth="1"/>
  </cols>
  <sheetData>
    <row r="1" spans="1:14" x14ac:dyDescent="0.3">
      <c r="A1" s="476" t="s">
        <v>523</v>
      </c>
      <c r="B1" s="477" t="s">
        <v>524</v>
      </c>
      <c r="C1" s="478"/>
      <c r="D1" s="478"/>
      <c r="E1" s="478"/>
      <c r="F1" s="478"/>
      <c r="G1" s="478"/>
      <c r="H1" s="478"/>
      <c r="I1" s="478"/>
      <c r="J1" s="476" t="s">
        <v>528</v>
      </c>
      <c r="K1" s="479">
        <v>81</v>
      </c>
      <c r="L1" s="478"/>
      <c r="M1" s="480" t="s">
        <v>531</v>
      </c>
      <c r="N1" s="481">
        <f>E14+N20+I33+J42+I46</f>
        <v>359.02735640109074</v>
      </c>
    </row>
    <row r="2" spans="1:14" x14ac:dyDescent="0.3">
      <c r="A2" s="476" t="s">
        <v>532</v>
      </c>
      <c r="B2" s="477" t="s">
        <v>780</v>
      </c>
      <c r="C2" s="478"/>
      <c r="D2" s="478"/>
      <c r="E2" s="478"/>
      <c r="F2" s="478"/>
      <c r="G2" s="478"/>
      <c r="H2" s="478"/>
      <c r="I2" s="478"/>
      <c r="J2" s="477"/>
      <c r="K2" s="478"/>
      <c r="L2" s="478"/>
      <c r="M2" s="476" t="s">
        <v>533</v>
      </c>
      <c r="N2" s="482">
        <v>1</v>
      </c>
    </row>
    <row r="3" spans="1:14" x14ac:dyDescent="0.3">
      <c r="A3" s="476" t="s">
        <v>534</v>
      </c>
      <c r="B3" s="477" t="s">
        <v>163</v>
      </c>
      <c r="C3" s="478"/>
      <c r="D3" s="478"/>
      <c r="E3" s="478"/>
      <c r="F3" s="478"/>
      <c r="G3" s="478"/>
      <c r="H3" s="478"/>
      <c r="I3" s="478"/>
      <c r="J3" s="476" t="s">
        <v>536</v>
      </c>
      <c r="K3" s="478"/>
      <c r="L3" s="478"/>
      <c r="M3" s="477"/>
      <c r="N3" s="478"/>
    </row>
    <row r="4" spans="1:14" x14ac:dyDescent="0.3">
      <c r="A4" s="476" t="s">
        <v>537</v>
      </c>
      <c r="B4" s="477" t="s">
        <v>162</v>
      </c>
      <c r="C4" s="478"/>
      <c r="D4" s="478"/>
      <c r="E4" s="478"/>
      <c r="F4" s="478"/>
      <c r="G4" s="478"/>
      <c r="H4" s="478"/>
      <c r="I4" s="478"/>
      <c r="J4" s="476" t="s">
        <v>538</v>
      </c>
      <c r="K4" s="478"/>
      <c r="L4" s="478"/>
      <c r="M4" s="480" t="s">
        <v>539</v>
      </c>
      <c r="N4" s="481">
        <f>N1*N2</f>
        <v>359.02735640109074</v>
      </c>
    </row>
    <row r="5" spans="1:14" x14ac:dyDescent="0.3">
      <c r="A5" s="476" t="s">
        <v>540</v>
      </c>
      <c r="B5" s="477" t="s">
        <v>36</v>
      </c>
      <c r="C5" s="478"/>
      <c r="D5" s="478"/>
      <c r="E5" s="478"/>
      <c r="F5" s="478"/>
      <c r="G5" s="478"/>
      <c r="H5" s="478"/>
      <c r="I5" s="478"/>
      <c r="J5" s="476" t="s">
        <v>541</v>
      </c>
      <c r="K5" s="478"/>
      <c r="L5" s="478"/>
      <c r="M5" s="478"/>
      <c r="N5" s="478"/>
    </row>
    <row r="6" spans="1:14" s="196" customFormat="1" x14ac:dyDescent="0.3">
      <c r="A6" s="476" t="s">
        <v>542</v>
      </c>
      <c r="B6" s="319" t="s">
        <v>1220</v>
      </c>
      <c r="C6" s="478"/>
      <c r="D6" s="478"/>
      <c r="E6" s="478"/>
      <c r="F6" s="478"/>
      <c r="G6" s="478"/>
      <c r="H6" s="478"/>
      <c r="I6" s="478"/>
      <c r="J6" s="478"/>
      <c r="K6" s="478"/>
      <c r="L6" s="478"/>
      <c r="M6" s="478"/>
      <c r="N6" s="478"/>
    </row>
    <row r="7" spans="1:14" x14ac:dyDescent="0.3">
      <c r="A7" s="478"/>
      <c r="B7" s="478"/>
      <c r="C7" s="478"/>
      <c r="D7" s="478"/>
      <c r="E7" s="478"/>
      <c r="F7" s="478"/>
      <c r="G7" s="478"/>
      <c r="H7" s="478"/>
      <c r="I7" s="478"/>
      <c r="J7" s="478"/>
      <c r="K7" s="478"/>
      <c r="L7" s="478"/>
      <c r="M7" s="478"/>
      <c r="N7" s="478"/>
    </row>
    <row r="8" spans="1:14" s="484" customFormat="1" x14ac:dyDescent="0.3">
      <c r="A8" s="483" t="s">
        <v>544</v>
      </c>
      <c r="B8" s="483" t="s">
        <v>545</v>
      </c>
      <c r="C8" s="483" t="s">
        <v>546</v>
      </c>
      <c r="D8" s="483" t="s">
        <v>28</v>
      </c>
      <c r="E8" s="483" t="s">
        <v>547</v>
      </c>
      <c r="F8" s="477"/>
      <c r="G8" s="477"/>
      <c r="H8" s="477"/>
      <c r="I8" s="477"/>
      <c r="J8" s="477"/>
      <c r="K8" s="477"/>
      <c r="L8" s="477"/>
      <c r="M8" s="477"/>
      <c r="N8" s="477"/>
    </row>
    <row r="9" spans="1:14" x14ac:dyDescent="0.3">
      <c r="A9" s="485">
        <v>10</v>
      </c>
      <c r="B9" s="486" t="s">
        <v>165</v>
      </c>
      <c r="C9" s="487">
        <f>'EN 09001'!N1</f>
        <v>125.31212934775739</v>
      </c>
      <c r="D9" s="488">
        <v>1</v>
      </c>
      <c r="E9" s="489">
        <f>C9*D9</f>
        <v>125.31212934775739</v>
      </c>
      <c r="F9" s="490"/>
      <c r="G9" s="478"/>
      <c r="H9" s="478"/>
      <c r="I9" s="478"/>
      <c r="J9" s="478"/>
      <c r="K9" s="478"/>
      <c r="L9" s="478"/>
      <c r="M9" s="478"/>
      <c r="N9" s="478"/>
    </row>
    <row r="10" spans="1:14" x14ac:dyDescent="0.3">
      <c r="A10" s="485">
        <v>20</v>
      </c>
      <c r="B10" s="486" t="s">
        <v>167</v>
      </c>
      <c r="C10" s="487">
        <f>'EN 09002'!N1</f>
        <v>110</v>
      </c>
      <c r="D10" s="488">
        <v>1</v>
      </c>
      <c r="E10" s="489">
        <f>C10*D10</f>
        <v>110</v>
      </c>
      <c r="F10" s="490"/>
      <c r="G10" s="478"/>
      <c r="H10" s="478"/>
      <c r="I10" s="478"/>
      <c r="J10" s="478"/>
      <c r="K10" s="478"/>
      <c r="L10" s="478"/>
      <c r="M10" s="478"/>
      <c r="N10" s="478"/>
    </row>
    <row r="11" spans="1:14" x14ac:dyDescent="0.3">
      <c r="A11" s="485">
        <v>30</v>
      </c>
      <c r="B11" s="486" t="s">
        <v>1221</v>
      </c>
      <c r="C11" s="487">
        <f>'EN 09003'!N1</f>
        <v>10.729011119999999</v>
      </c>
      <c r="D11" s="488">
        <v>2</v>
      </c>
      <c r="E11" s="489">
        <f>C11*D11</f>
        <v>21.458022239999998</v>
      </c>
      <c r="F11" s="490"/>
      <c r="G11" s="478"/>
      <c r="H11" s="478"/>
      <c r="I11" s="478"/>
      <c r="J11" s="478"/>
      <c r="K11" s="478"/>
      <c r="L11" s="478"/>
      <c r="M11" s="478"/>
      <c r="N11" s="478"/>
    </row>
    <row r="12" spans="1:14" x14ac:dyDescent="0.3">
      <c r="A12" s="485">
        <v>40</v>
      </c>
      <c r="B12" s="486" t="s">
        <v>1222</v>
      </c>
      <c r="C12" s="487">
        <f>'EN 09004'!N1</f>
        <v>1.883575295</v>
      </c>
      <c r="D12" s="488">
        <v>4</v>
      </c>
      <c r="E12" s="489">
        <f>C12*D12</f>
        <v>7.5343011799999999</v>
      </c>
      <c r="F12" s="490"/>
      <c r="G12" s="478"/>
      <c r="H12" s="478"/>
      <c r="I12" s="478"/>
      <c r="J12" s="478"/>
      <c r="K12" s="478"/>
      <c r="L12" s="478"/>
      <c r="M12" s="478"/>
      <c r="N12" s="478"/>
    </row>
    <row r="13" spans="1:14" x14ac:dyDescent="0.3">
      <c r="A13" s="485">
        <v>50</v>
      </c>
      <c r="B13" s="486" t="s">
        <v>1223</v>
      </c>
      <c r="C13" s="487">
        <f>'EN 09005'!$N$1</f>
        <v>0.92447507499999992</v>
      </c>
      <c r="D13" s="488">
        <v>4</v>
      </c>
      <c r="E13" s="489">
        <f>C13*D13</f>
        <v>3.6979002999999997</v>
      </c>
      <c r="F13" s="490"/>
      <c r="G13" s="478"/>
      <c r="H13" s="478"/>
      <c r="I13" s="478"/>
      <c r="J13" s="478"/>
      <c r="K13" s="478"/>
      <c r="L13" s="478"/>
      <c r="M13" s="478"/>
      <c r="N13" s="478"/>
    </row>
    <row r="14" spans="1:14" x14ac:dyDescent="0.3">
      <c r="A14" s="478"/>
      <c r="B14" s="478"/>
      <c r="C14" s="478"/>
      <c r="D14" s="491" t="s">
        <v>547</v>
      </c>
      <c r="E14" s="492">
        <f>SUM(E9:E13)</f>
        <v>268.00235306775738</v>
      </c>
      <c r="F14" s="490"/>
      <c r="G14" s="478"/>
      <c r="H14" s="478"/>
      <c r="I14" s="478"/>
      <c r="J14" s="478"/>
      <c r="K14" s="478"/>
      <c r="L14" s="478"/>
      <c r="M14" s="478"/>
      <c r="N14" s="478"/>
    </row>
    <row r="15" spans="1:14" x14ac:dyDescent="0.3">
      <c r="A15" s="478"/>
      <c r="B15" s="478"/>
      <c r="C15" s="478"/>
      <c r="D15" s="478"/>
      <c r="E15" s="478"/>
      <c r="F15" s="478"/>
      <c r="G15" s="478"/>
      <c r="H15" s="478"/>
      <c r="I15" s="478"/>
      <c r="J15" s="478"/>
      <c r="K15" s="478"/>
      <c r="L15" s="478"/>
      <c r="M15" s="478"/>
      <c r="N15" s="478"/>
    </row>
    <row r="16" spans="1:14" s="484" customFormat="1" x14ac:dyDescent="0.3">
      <c r="A16" s="483" t="s">
        <v>544</v>
      </c>
      <c r="B16" s="483" t="s">
        <v>581</v>
      </c>
      <c r="C16" s="483" t="s">
        <v>549</v>
      </c>
      <c r="D16" s="483" t="s">
        <v>550</v>
      </c>
      <c r="E16" s="483" t="s">
        <v>567</v>
      </c>
      <c r="F16" s="483" t="s">
        <v>568</v>
      </c>
      <c r="G16" s="483" t="s">
        <v>569</v>
      </c>
      <c r="H16" s="483" t="s">
        <v>570</v>
      </c>
      <c r="I16" s="483" t="s">
        <v>582</v>
      </c>
      <c r="J16" s="483" t="s">
        <v>583</v>
      </c>
      <c r="K16" s="483" t="s">
        <v>584</v>
      </c>
      <c r="L16" s="483" t="s">
        <v>585</v>
      </c>
      <c r="M16" s="483" t="s">
        <v>28</v>
      </c>
      <c r="N16" s="483" t="s">
        <v>547</v>
      </c>
    </row>
    <row r="17" spans="1:15" x14ac:dyDescent="0.3">
      <c r="A17" s="184">
        <v>10</v>
      </c>
      <c r="B17" s="493" t="s">
        <v>1224</v>
      </c>
      <c r="C17" s="494" t="s">
        <v>1225</v>
      </c>
      <c r="D17" s="495">
        <v>40.25</v>
      </c>
      <c r="E17" s="496">
        <v>90</v>
      </c>
      <c r="F17" s="497" t="s">
        <v>573</v>
      </c>
      <c r="G17" s="496">
        <v>20</v>
      </c>
      <c r="H17" s="498" t="s">
        <v>573</v>
      </c>
      <c r="I17" s="466"/>
      <c r="J17" s="499"/>
      <c r="K17" s="500"/>
      <c r="L17" s="500"/>
      <c r="M17" s="496">
        <v>1</v>
      </c>
      <c r="N17" s="501">
        <f>IF(J17="",D17*M17,D17*J17*K17*L17*M17)</f>
        <v>40.25</v>
      </c>
    </row>
    <row r="18" spans="1:15" x14ac:dyDescent="0.3">
      <c r="A18" s="184">
        <v>20</v>
      </c>
      <c r="B18" s="381" t="s">
        <v>1224</v>
      </c>
      <c r="C18" s="494" t="s">
        <v>1226</v>
      </c>
      <c r="D18" s="495">
        <v>38.18</v>
      </c>
      <c r="E18" s="496">
        <v>90</v>
      </c>
      <c r="F18" s="497" t="s">
        <v>573</v>
      </c>
      <c r="G18" s="496">
        <v>18</v>
      </c>
      <c r="H18" s="498" t="s">
        <v>573</v>
      </c>
      <c r="I18" s="466"/>
      <c r="J18" s="499"/>
      <c r="K18" s="500"/>
      <c r="L18" s="500"/>
      <c r="M18" s="496">
        <v>1</v>
      </c>
      <c r="N18" s="501">
        <f>IF(J18="",D18*M18,D18*J18*K18*L18*M18)</f>
        <v>38.18</v>
      </c>
    </row>
    <row r="19" spans="1:15" x14ac:dyDescent="0.3">
      <c r="A19" s="184">
        <v>30</v>
      </c>
      <c r="B19" s="494" t="s">
        <v>771</v>
      </c>
      <c r="C19" s="494" t="s">
        <v>1227</v>
      </c>
      <c r="D19" s="495">
        <v>0.75</v>
      </c>
      <c r="E19" s="496">
        <v>0.06</v>
      </c>
      <c r="F19" s="497" t="s">
        <v>649</v>
      </c>
      <c r="G19" s="496"/>
      <c r="H19" s="498"/>
      <c r="I19" s="502"/>
      <c r="J19" s="499"/>
      <c r="K19" s="500"/>
      <c r="L19" s="503"/>
      <c r="M19" s="496">
        <v>0.06</v>
      </c>
      <c r="N19" s="501">
        <f>IF(J19="",D19*M19,D19*J19*K19*L19*M19)</f>
        <v>4.4999999999999998E-2</v>
      </c>
    </row>
    <row r="20" spans="1:15" x14ac:dyDescent="0.3">
      <c r="A20" s="504"/>
      <c r="B20" s="504"/>
      <c r="C20" s="504"/>
      <c r="D20" s="504"/>
      <c r="E20" s="504"/>
      <c r="F20" s="504"/>
      <c r="G20" s="504"/>
      <c r="H20" s="504"/>
      <c r="I20" s="504"/>
      <c r="J20" s="504"/>
      <c r="K20" s="504"/>
      <c r="L20" s="504"/>
      <c r="M20" s="505" t="s">
        <v>547</v>
      </c>
      <c r="N20" s="492">
        <f>SUM(N17:N19)</f>
        <v>78.475000000000009</v>
      </c>
      <c r="O20" s="506"/>
    </row>
    <row r="21" spans="1:15" x14ac:dyDescent="0.3">
      <c r="A21" s="478"/>
      <c r="B21" s="478"/>
      <c r="C21" s="478"/>
      <c r="D21" s="478"/>
      <c r="E21" s="478"/>
      <c r="F21" s="478"/>
      <c r="G21" s="478"/>
      <c r="H21" s="478"/>
      <c r="I21" s="478"/>
      <c r="J21" s="478"/>
      <c r="K21" s="478"/>
      <c r="L21" s="478"/>
      <c r="M21" s="478"/>
      <c r="N21" s="478"/>
    </row>
    <row r="22" spans="1:15" s="484" customFormat="1" x14ac:dyDescent="0.3">
      <c r="A22" s="483" t="s">
        <v>544</v>
      </c>
      <c r="B22" s="483" t="s">
        <v>548</v>
      </c>
      <c r="C22" s="483" t="s">
        <v>549</v>
      </c>
      <c r="D22" s="483" t="s">
        <v>550</v>
      </c>
      <c r="E22" s="483" t="s">
        <v>551</v>
      </c>
      <c r="F22" s="483" t="s">
        <v>28</v>
      </c>
      <c r="G22" s="483" t="s">
        <v>552</v>
      </c>
      <c r="H22" s="483" t="s">
        <v>553</v>
      </c>
      <c r="I22" s="483" t="s">
        <v>547</v>
      </c>
      <c r="J22" s="507"/>
      <c r="K22" s="507"/>
      <c r="L22" s="507"/>
      <c r="M22" s="507"/>
      <c r="N22" s="507"/>
    </row>
    <row r="23" spans="1:15" x14ac:dyDescent="0.3">
      <c r="A23" s="184">
        <v>10</v>
      </c>
      <c r="B23" s="508" t="s">
        <v>650</v>
      </c>
      <c r="C23" s="508" t="s">
        <v>1228</v>
      </c>
      <c r="D23" s="495">
        <v>0.15</v>
      </c>
      <c r="E23" s="497" t="s">
        <v>593</v>
      </c>
      <c r="F23" s="496">
        <v>15.8</v>
      </c>
      <c r="G23" s="509"/>
      <c r="H23" s="509"/>
      <c r="I23" s="510">
        <f>D23*F23</f>
        <v>2.37</v>
      </c>
      <c r="J23" s="478"/>
      <c r="K23" s="478"/>
      <c r="L23" s="478"/>
      <c r="M23" s="478"/>
      <c r="N23" s="478"/>
    </row>
    <row r="24" spans="1:15" x14ac:dyDescent="0.3">
      <c r="A24" s="184">
        <v>20</v>
      </c>
      <c r="B24" s="511" t="s">
        <v>762</v>
      </c>
      <c r="C24" s="512" t="s">
        <v>1229</v>
      </c>
      <c r="D24" s="495">
        <v>5.25</v>
      </c>
      <c r="E24" s="497" t="s">
        <v>627</v>
      </c>
      <c r="F24" s="513">
        <f>2*(0.00105+0.00149)</f>
        <v>5.0799999999999994E-3</v>
      </c>
      <c r="G24" s="509"/>
      <c r="H24" s="509"/>
      <c r="I24" s="510">
        <f>D24*F24</f>
        <v>2.6669999999999996E-2</v>
      </c>
      <c r="J24" s="478"/>
      <c r="K24" s="478"/>
      <c r="L24" s="478"/>
      <c r="M24" s="478"/>
      <c r="N24" s="478"/>
    </row>
    <row r="25" spans="1:15" x14ac:dyDescent="0.3">
      <c r="A25" s="184">
        <v>30</v>
      </c>
      <c r="B25" s="514" t="s">
        <v>1006</v>
      </c>
      <c r="C25" s="515" t="s">
        <v>1230</v>
      </c>
      <c r="D25" s="495">
        <v>0.56000000000000005</v>
      </c>
      <c r="E25" s="497" t="s">
        <v>556</v>
      </c>
      <c r="F25" s="496">
        <v>2</v>
      </c>
      <c r="G25" s="509"/>
      <c r="H25" s="509"/>
      <c r="I25" s="510">
        <f t="shared" ref="I25:I32" si="0">D25*F25</f>
        <v>1.1200000000000001</v>
      </c>
      <c r="J25" s="478"/>
      <c r="K25" s="478"/>
      <c r="L25" s="478"/>
      <c r="M25" s="478"/>
      <c r="N25" s="478"/>
    </row>
    <row r="26" spans="1:15" ht="28.8" x14ac:dyDescent="0.3">
      <c r="A26" s="184">
        <v>40</v>
      </c>
      <c r="B26" s="511" t="s">
        <v>760</v>
      </c>
      <c r="C26" s="512" t="s">
        <v>1231</v>
      </c>
      <c r="D26" s="495">
        <v>0.19</v>
      </c>
      <c r="E26" s="497" t="s">
        <v>556</v>
      </c>
      <c r="F26" s="496">
        <v>2</v>
      </c>
      <c r="G26" s="509"/>
      <c r="H26" s="509"/>
      <c r="I26" s="510">
        <f t="shared" si="0"/>
        <v>0.38</v>
      </c>
      <c r="J26" s="478"/>
      <c r="K26" s="478"/>
      <c r="L26" s="478"/>
      <c r="M26" s="478"/>
      <c r="N26" s="478"/>
    </row>
    <row r="27" spans="1:15" ht="28.8" x14ac:dyDescent="0.3">
      <c r="A27" s="184">
        <v>50</v>
      </c>
      <c r="B27" s="514" t="s">
        <v>816</v>
      </c>
      <c r="C27" s="512" t="s">
        <v>1232</v>
      </c>
      <c r="D27" s="495">
        <v>0.38</v>
      </c>
      <c r="E27" s="497" t="s">
        <v>556</v>
      </c>
      <c r="F27" s="496">
        <v>2</v>
      </c>
      <c r="G27" s="509"/>
      <c r="H27" s="509"/>
      <c r="I27" s="510">
        <f t="shared" si="0"/>
        <v>0.76</v>
      </c>
      <c r="J27" s="478"/>
      <c r="K27" s="478"/>
      <c r="L27" s="478"/>
      <c r="M27" s="478"/>
      <c r="N27" s="478"/>
    </row>
    <row r="28" spans="1:15" x14ac:dyDescent="0.3">
      <c r="A28" s="184">
        <v>60</v>
      </c>
      <c r="B28" s="511" t="s">
        <v>1233</v>
      </c>
      <c r="C28" s="512" t="s">
        <v>1234</v>
      </c>
      <c r="D28" s="495">
        <v>0.75</v>
      </c>
      <c r="E28" s="497" t="s">
        <v>556</v>
      </c>
      <c r="F28" s="496">
        <v>2</v>
      </c>
      <c r="G28" s="509"/>
      <c r="H28" s="509"/>
      <c r="I28" s="510">
        <f t="shared" si="0"/>
        <v>1.5</v>
      </c>
      <c r="J28" s="478"/>
      <c r="K28" s="478"/>
      <c r="L28" s="478"/>
      <c r="M28" s="478"/>
      <c r="N28" s="478"/>
    </row>
    <row r="29" spans="1:15" x14ac:dyDescent="0.3">
      <c r="A29" s="184">
        <v>70</v>
      </c>
      <c r="B29" s="511" t="s">
        <v>616</v>
      </c>
      <c r="C29" s="512" t="s">
        <v>1234</v>
      </c>
      <c r="D29" s="495">
        <v>0.25</v>
      </c>
      <c r="E29" s="497" t="s">
        <v>556</v>
      </c>
      <c r="F29" s="496">
        <v>2</v>
      </c>
      <c r="G29" s="509"/>
      <c r="H29" s="509"/>
      <c r="I29" s="510">
        <f t="shared" si="0"/>
        <v>0.5</v>
      </c>
      <c r="J29" s="478"/>
      <c r="K29" s="478"/>
      <c r="L29" s="478"/>
      <c r="M29" s="478"/>
      <c r="N29" s="478"/>
    </row>
    <row r="30" spans="1:15" x14ac:dyDescent="0.3">
      <c r="A30" s="184">
        <v>80</v>
      </c>
      <c r="B30" s="511" t="s">
        <v>562</v>
      </c>
      <c r="C30" s="512" t="s">
        <v>1235</v>
      </c>
      <c r="D30" s="495">
        <v>0.06</v>
      </c>
      <c r="E30" s="497" t="s">
        <v>556</v>
      </c>
      <c r="F30" s="496">
        <v>4</v>
      </c>
      <c r="G30" s="509"/>
      <c r="H30" s="509"/>
      <c r="I30" s="510">
        <f t="shared" si="0"/>
        <v>0.24</v>
      </c>
      <c r="J30" s="478"/>
      <c r="K30" s="478"/>
      <c r="L30" s="478"/>
      <c r="M30" s="478"/>
      <c r="N30" s="478"/>
    </row>
    <row r="31" spans="1:15" ht="28.8" x14ac:dyDescent="0.3">
      <c r="A31" s="184">
        <v>90</v>
      </c>
      <c r="B31" s="511" t="s">
        <v>659</v>
      </c>
      <c r="C31" s="512" t="s">
        <v>1236</v>
      </c>
      <c r="D31" s="495">
        <v>0.5</v>
      </c>
      <c r="E31" s="497" t="s">
        <v>556</v>
      </c>
      <c r="F31" s="496">
        <v>4</v>
      </c>
      <c r="G31" s="509"/>
      <c r="H31" s="509"/>
      <c r="I31" s="510">
        <f t="shared" si="0"/>
        <v>2</v>
      </c>
      <c r="J31" s="478"/>
      <c r="K31" s="478"/>
      <c r="L31" s="478"/>
      <c r="M31" s="478"/>
      <c r="N31" s="478"/>
    </row>
    <row r="32" spans="1:15" ht="28.8" x14ac:dyDescent="0.3">
      <c r="A32" s="184">
        <v>100</v>
      </c>
      <c r="B32" s="511" t="s">
        <v>660</v>
      </c>
      <c r="C32" s="512" t="s">
        <v>1236</v>
      </c>
      <c r="D32" s="516">
        <v>0.25</v>
      </c>
      <c r="E32" s="517" t="s">
        <v>556</v>
      </c>
      <c r="F32" s="518">
        <v>4</v>
      </c>
      <c r="G32" s="519"/>
      <c r="H32" s="519"/>
      <c r="I32" s="520">
        <f t="shared" si="0"/>
        <v>1</v>
      </c>
      <c r="J32" s="478"/>
      <c r="K32" s="478"/>
      <c r="L32" s="478"/>
      <c r="M32" s="478"/>
      <c r="N32" s="478"/>
    </row>
    <row r="33" spans="1:14" x14ac:dyDescent="0.3">
      <c r="A33" s="504"/>
      <c r="B33" s="504"/>
      <c r="C33" s="504"/>
      <c r="D33" s="504"/>
      <c r="E33" s="504"/>
      <c r="F33" s="504"/>
      <c r="G33" s="504"/>
      <c r="H33" s="505" t="s">
        <v>547</v>
      </c>
      <c r="I33" s="521">
        <f>SUM(I23:I32)</f>
        <v>9.8966700000000003</v>
      </c>
      <c r="J33" s="522"/>
      <c r="K33" s="504"/>
      <c r="L33" s="504"/>
      <c r="M33" s="504"/>
      <c r="N33" s="504"/>
    </row>
    <row r="34" spans="1:14" x14ac:dyDescent="0.3">
      <c r="A34" s="478"/>
      <c r="B34" s="478"/>
      <c r="C34" s="478"/>
      <c r="D34" s="478"/>
      <c r="E34" s="478"/>
      <c r="F34" s="478"/>
      <c r="G34" s="478"/>
      <c r="H34" s="478"/>
      <c r="I34" s="477"/>
      <c r="J34" s="478"/>
      <c r="K34" s="478"/>
      <c r="L34" s="478"/>
      <c r="M34" s="478"/>
      <c r="N34" s="478"/>
    </row>
    <row r="35" spans="1:14" s="484" customFormat="1" x14ac:dyDescent="0.3">
      <c r="A35" s="483" t="s">
        <v>544</v>
      </c>
      <c r="B35" s="483" t="s">
        <v>566</v>
      </c>
      <c r="C35" s="483" t="s">
        <v>549</v>
      </c>
      <c r="D35" s="483" t="s">
        <v>550</v>
      </c>
      <c r="E35" s="483" t="s">
        <v>567</v>
      </c>
      <c r="F35" s="483" t="s">
        <v>568</v>
      </c>
      <c r="G35" s="483" t="s">
        <v>569</v>
      </c>
      <c r="H35" s="483" t="s">
        <v>570</v>
      </c>
      <c r="I35" s="483" t="s">
        <v>28</v>
      </c>
      <c r="J35" s="483" t="s">
        <v>547</v>
      </c>
      <c r="K35" s="507"/>
      <c r="L35" s="507"/>
      <c r="M35" s="507"/>
      <c r="N35" s="507"/>
    </row>
    <row r="36" spans="1:14" s="484" customFormat="1" x14ac:dyDescent="0.3">
      <c r="A36" s="184">
        <v>10</v>
      </c>
      <c r="B36" s="381" t="s">
        <v>684</v>
      </c>
      <c r="C36" s="486" t="s">
        <v>1237</v>
      </c>
      <c r="D36" s="523">
        <v>0.19</v>
      </c>
      <c r="E36" s="496">
        <v>8</v>
      </c>
      <c r="F36" s="524" t="s">
        <v>573</v>
      </c>
      <c r="G36" s="496">
        <v>45</v>
      </c>
      <c r="H36" s="525" t="s">
        <v>573</v>
      </c>
      <c r="I36" s="526">
        <v>2</v>
      </c>
      <c r="J36" s="495">
        <f t="shared" ref="J36:J41" si="1">D36*I36</f>
        <v>0.38</v>
      </c>
      <c r="K36" s="507"/>
      <c r="L36" s="507"/>
      <c r="M36" s="507"/>
      <c r="N36" s="507"/>
    </row>
    <row r="37" spans="1:14" x14ac:dyDescent="0.3">
      <c r="A37" s="184">
        <v>20</v>
      </c>
      <c r="B37" s="381" t="s">
        <v>684</v>
      </c>
      <c r="C37" s="486" t="s">
        <v>1237</v>
      </c>
      <c r="D37" s="523">
        <v>0.19</v>
      </c>
      <c r="E37" s="496">
        <v>8</v>
      </c>
      <c r="F37" s="524" t="s">
        <v>573</v>
      </c>
      <c r="G37" s="496">
        <v>45</v>
      </c>
      <c r="H37" s="525" t="s">
        <v>573</v>
      </c>
      <c r="I37" s="526">
        <v>2</v>
      </c>
      <c r="J37" s="495">
        <f t="shared" si="1"/>
        <v>0.38</v>
      </c>
      <c r="K37" s="478"/>
      <c r="L37" s="478"/>
      <c r="M37" s="478"/>
      <c r="N37" s="478"/>
    </row>
    <row r="38" spans="1:14" x14ac:dyDescent="0.3">
      <c r="A38" s="184">
        <v>30</v>
      </c>
      <c r="B38" s="527" t="s">
        <v>618</v>
      </c>
      <c r="C38" s="486" t="s">
        <v>1237</v>
      </c>
      <c r="D38" s="523">
        <v>0.04</v>
      </c>
      <c r="E38" s="496">
        <v>8</v>
      </c>
      <c r="F38" s="524" t="s">
        <v>573</v>
      </c>
      <c r="G38" s="496"/>
      <c r="H38" s="525"/>
      <c r="I38" s="526">
        <v>2</v>
      </c>
      <c r="J38" s="495">
        <f t="shared" si="1"/>
        <v>0.08</v>
      </c>
      <c r="K38" s="478"/>
      <c r="L38" s="478"/>
      <c r="M38" s="478"/>
      <c r="N38" s="478"/>
    </row>
    <row r="39" spans="1:14" ht="28.8" x14ac:dyDescent="0.3">
      <c r="A39" s="184">
        <v>40</v>
      </c>
      <c r="B39" s="381" t="s">
        <v>684</v>
      </c>
      <c r="C39" s="486" t="s">
        <v>1238</v>
      </c>
      <c r="D39" s="523">
        <v>0.08</v>
      </c>
      <c r="E39" s="496">
        <v>6</v>
      </c>
      <c r="F39" s="524" t="s">
        <v>573</v>
      </c>
      <c r="G39" s="496">
        <v>35</v>
      </c>
      <c r="H39" s="525" t="s">
        <v>573</v>
      </c>
      <c r="I39" s="526">
        <v>4</v>
      </c>
      <c r="J39" s="495">
        <f t="shared" si="1"/>
        <v>0.32</v>
      </c>
      <c r="K39" s="478"/>
      <c r="L39" s="478"/>
      <c r="M39" s="478"/>
      <c r="N39" s="478"/>
    </row>
    <row r="40" spans="1:14" ht="28.8" x14ac:dyDescent="0.3">
      <c r="A40" s="184">
        <v>50</v>
      </c>
      <c r="B40" s="527" t="s">
        <v>618</v>
      </c>
      <c r="C40" s="486" t="s">
        <v>1238</v>
      </c>
      <c r="D40" s="523">
        <v>0.03</v>
      </c>
      <c r="E40" s="496">
        <v>6</v>
      </c>
      <c r="F40" s="524" t="s">
        <v>573</v>
      </c>
      <c r="G40" s="496"/>
      <c r="H40" s="525"/>
      <c r="I40" s="526">
        <v>4</v>
      </c>
      <c r="J40" s="495">
        <f t="shared" si="1"/>
        <v>0.12</v>
      </c>
      <c r="K40" s="478"/>
      <c r="L40" s="478"/>
      <c r="M40" s="478"/>
      <c r="N40" s="478"/>
    </row>
    <row r="41" spans="1:14" x14ac:dyDescent="0.3">
      <c r="A41" s="184">
        <v>60</v>
      </c>
      <c r="B41" s="527" t="s">
        <v>574</v>
      </c>
      <c r="C41" s="528" t="s">
        <v>1237</v>
      </c>
      <c r="D41" s="523">
        <v>0.01</v>
      </c>
      <c r="E41" s="496"/>
      <c r="F41" s="524" t="s">
        <v>556</v>
      </c>
      <c r="G41" s="496"/>
      <c r="H41" s="525"/>
      <c r="I41" s="526">
        <v>4</v>
      </c>
      <c r="J41" s="495">
        <f t="shared" si="1"/>
        <v>0.04</v>
      </c>
      <c r="K41" s="478"/>
      <c r="L41" s="478"/>
      <c r="M41" s="478"/>
      <c r="N41" s="478"/>
    </row>
    <row r="42" spans="1:14" x14ac:dyDescent="0.3">
      <c r="A42" s="504"/>
      <c r="B42" s="504"/>
      <c r="C42" s="504"/>
      <c r="D42" s="504"/>
      <c r="E42" s="504"/>
      <c r="F42" s="504"/>
      <c r="G42" s="504"/>
      <c r="H42" s="504"/>
      <c r="I42" s="505" t="s">
        <v>547</v>
      </c>
      <c r="J42" s="492">
        <f>SUM(J36:J41)</f>
        <v>1.3199999999999998</v>
      </c>
      <c r="K42" s="504"/>
      <c r="L42" s="504"/>
      <c r="M42" s="504"/>
      <c r="N42" s="504"/>
    </row>
    <row r="43" spans="1:14" x14ac:dyDescent="0.3">
      <c r="A43" s="478"/>
      <c r="B43" s="478"/>
      <c r="C43" s="478"/>
      <c r="D43" s="478"/>
      <c r="E43" s="478"/>
      <c r="F43" s="478"/>
      <c r="G43" s="478"/>
      <c r="H43" s="478"/>
      <c r="I43" s="490"/>
      <c r="J43" s="478"/>
      <c r="K43" s="478"/>
      <c r="L43" s="478"/>
      <c r="M43" s="478"/>
      <c r="N43" s="478"/>
    </row>
    <row r="44" spans="1:14" s="484" customFormat="1" x14ac:dyDescent="0.3">
      <c r="A44" s="483" t="s">
        <v>544</v>
      </c>
      <c r="B44" s="483" t="s">
        <v>6</v>
      </c>
      <c r="C44" s="483" t="s">
        <v>549</v>
      </c>
      <c r="D44" s="483" t="s">
        <v>550</v>
      </c>
      <c r="E44" s="483" t="s">
        <v>551</v>
      </c>
      <c r="F44" s="483" t="s">
        <v>28</v>
      </c>
      <c r="G44" s="483" t="s">
        <v>691</v>
      </c>
      <c r="H44" s="483" t="s">
        <v>736</v>
      </c>
      <c r="I44" s="483" t="s">
        <v>547</v>
      </c>
      <c r="J44" s="507"/>
      <c r="K44" s="507"/>
      <c r="L44" s="507"/>
      <c r="M44" s="507"/>
      <c r="N44" s="507"/>
    </row>
    <row r="45" spans="1:14" x14ac:dyDescent="0.3">
      <c r="A45" s="272">
        <v>10</v>
      </c>
      <c r="B45" s="486" t="s">
        <v>693</v>
      </c>
      <c r="C45" s="486" t="s">
        <v>1239</v>
      </c>
      <c r="D45" s="516">
        <v>500</v>
      </c>
      <c r="E45" s="517" t="s">
        <v>695</v>
      </c>
      <c r="F45" s="518">
        <v>8</v>
      </c>
      <c r="G45" s="518">
        <v>3000</v>
      </c>
      <c r="H45" s="518">
        <v>1</v>
      </c>
      <c r="I45" s="489">
        <f>D45*F45/G45*H45</f>
        <v>1.3333333333333333</v>
      </c>
      <c r="J45" s="478"/>
      <c r="K45" s="478"/>
      <c r="L45" s="478"/>
      <c r="M45" s="478"/>
      <c r="N45" s="478"/>
    </row>
    <row r="46" spans="1:14" x14ac:dyDescent="0.3">
      <c r="A46" s="504"/>
      <c r="B46" s="504"/>
      <c r="C46" s="504"/>
      <c r="D46" s="504"/>
      <c r="E46" s="504"/>
      <c r="F46" s="504"/>
      <c r="G46" s="504"/>
      <c r="H46" s="505" t="s">
        <v>547</v>
      </c>
      <c r="I46" s="521">
        <f>SUM(I45:I45)</f>
        <v>1.3333333333333333</v>
      </c>
      <c r="J46" s="504"/>
      <c r="K46" s="504"/>
      <c r="L46" s="504"/>
      <c r="M46" s="504"/>
      <c r="N46" s="504"/>
    </row>
    <row r="47" spans="1:14" x14ac:dyDescent="0.3">
      <c r="A47" s="522"/>
      <c r="B47" s="522"/>
      <c r="C47" s="522"/>
      <c r="D47" s="522"/>
      <c r="E47" s="522"/>
      <c r="F47" s="522"/>
      <c r="G47" s="522"/>
      <c r="H47" s="522"/>
      <c r="I47" s="522"/>
      <c r="J47" s="522"/>
      <c r="K47" s="522"/>
      <c r="L47" s="522"/>
      <c r="M47" s="522"/>
      <c r="N47" s="522"/>
    </row>
  </sheetData>
  <pageMargins left="0.7" right="0.7" top="0.75" bottom="0.75" header="0.3" footer="0.3"/>
  <pageSetup paperSize="9" scale="47" fitToHeight="0" orientation="landscape" r:id="rId1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N40"/>
  <sheetViews>
    <sheetView showGridLines="0" workbookViewId="0"/>
  </sheetViews>
  <sheetFormatPr defaultColWidth="11.44140625" defaultRowHeight="14.4" x14ac:dyDescent="0.3"/>
  <cols>
    <col min="1" max="1" width="14.44140625" style="484" customWidth="1"/>
    <col min="2" max="2" width="23.109375" style="484" customWidth="1"/>
    <col min="3" max="3" width="32.6640625" style="484" customWidth="1"/>
    <col min="4" max="6" width="11.44140625" style="484"/>
    <col min="7" max="7" width="22.6640625" style="484" customWidth="1"/>
    <col min="8" max="8" width="14.5546875" style="484" customWidth="1"/>
    <col min="9" max="9" width="19.109375" style="484" bestFit="1" customWidth="1"/>
    <col min="10" max="10" width="12" style="484" bestFit="1" customWidth="1"/>
    <col min="11" max="11" width="12.44140625" style="484" bestFit="1" customWidth="1"/>
    <col min="12" max="12" width="11.44140625" style="484"/>
    <col min="13" max="13" width="20.44140625" style="484" customWidth="1"/>
    <col min="14" max="16384" width="11.44140625" style="484"/>
  </cols>
  <sheetData>
    <row r="1" spans="1:14" x14ac:dyDescent="0.3">
      <c r="A1" s="343" t="s">
        <v>523</v>
      </c>
      <c r="B1" s="166" t="s">
        <v>524</v>
      </c>
      <c r="C1" s="319"/>
      <c r="D1" s="319"/>
      <c r="E1" s="319"/>
      <c r="F1" s="319"/>
      <c r="G1" s="529"/>
      <c r="H1" s="319"/>
      <c r="I1" s="319"/>
      <c r="J1" s="370" t="s">
        <v>528</v>
      </c>
      <c r="K1" s="250">
        <v>81</v>
      </c>
      <c r="L1" s="319"/>
      <c r="M1" s="370" t="s">
        <v>546</v>
      </c>
      <c r="N1" s="481">
        <f>N14+I31+J38</f>
        <v>125.31212934775739</v>
      </c>
    </row>
    <row r="2" spans="1:14" x14ac:dyDescent="0.3">
      <c r="A2" s="343" t="s">
        <v>532</v>
      </c>
      <c r="B2" s="319" t="s">
        <v>780</v>
      </c>
      <c r="C2" s="319"/>
      <c r="D2" s="370" t="s">
        <v>536</v>
      </c>
      <c r="E2" s="319"/>
      <c r="F2" s="319"/>
      <c r="G2" s="319"/>
      <c r="H2" s="319"/>
      <c r="I2" s="319"/>
      <c r="J2" s="319"/>
      <c r="K2" s="319"/>
      <c r="L2" s="319"/>
      <c r="M2" s="370" t="s">
        <v>533</v>
      </c>
      <c r="N2" s="482">
        <v>1</v>
      </c>
    </row>
    <row r="3" spans="1:14" x14ac:dyDescent="0.3">
      <c r="A3" s="343" t="s">
        <v>534</v>
      </c>
      <c r="B3" s="319" t="s">
        <v>163</v>
      </c>
      <c r="C3" s="319"/>
      <c r="D3" s="370" t="s">
        <v>538</v>
      </c>
      <c r="E3" s="319"/>
      <c r="F3" s="319"/>
      <c r="G3" s="319"/>
      <c r="H3" s="319"/>
      <c r="I3" s="319"/>
      <c r="J3" s="370" t="s">
        <v>536</v>
      </c>
      <c r="K3" s="319"/>
      <c r="L3" s="319"/>
      <c r="M3" s="319"/>
      <c r="N3" s="478"/>
    </row>
    <row r="4" spans="1:14" x14ac:dyDescent="0.3">
      <c r="A4" s="343" t="s">
        <v>545</v>
      </c>
      <c r="B4" s="319" t="s">
        <v>165</v>
      </c>
      <c r="C4" s="319"/>
      <c r="D4" s="370" t="s">
        <v>541</v>
      </c>
      <c r="E4" s="319"/>
      <c r="F4" s="319"/>
      <c r="G4" s="319"/>
      <c r="H4" s="319"/>
      <c r="I4" s="319"/>
      <c r="J4" s="370" t="s">
        <v>538</v>
      </c>
      <c r="K4" s="319"/>
      <c r="L4" s="319"/>
      <c r="M4" s="370" t="s">
        <v>539</v>
      </c>
      <c r="N4" s="481">
        <f>N1*N2</f>
        <v>125.31212934775739</v>
      </c>
    </row>
    <row r="5" spans="1:14" x14ac:dyDescent="0.3">
      <c r="A5" s="343" t="s">
        <v>537</v>
      </c>
      <c r="B5" s="319" t="s">
        <v>164</v>
      </c>
      <c r="C5" s="319"/>
      <c r="D5" s="319"/>
      <c r="E5" s="319"/>
      <c r="F5" s="319"/>
      <c r="G5" s="319"/>
      <c r="H5" s="319"/>
      <c r="I5" s="319"/>
      <c r="J5" s="370" t="s">
        <v>541</v>
      </c>
      <c r="K5" s="319"/>
      <c r="L5" s="319"/>
      <c r="M5" s="319"/>
      <c r="N5" s="319"/>
    </row>
    <row r="6" spans="1:14" x14ac:dyDescent="0.3">
      <c r="A6" s="343" t="s">
        <v>540</v>
      </c>
      <c r="B6" s="319" t="s">
        <v>36</v>
      </c>
      <c r="C6" s="319"/>
      <c r="D6" s="319"/>
      <c r="E6" s="319"/>
      <c r="F6" s="319"/>
      <c r="G6" s="319"/>
      <c r="H6" s="319"/>
      <c r="I6" s="319"/>
      <c r="J6" s="319"/>
      <c r="K6" s="319"/>
      <c r="L6" s="319"/>
      <c r="M6" s="319"/>
      <c r="N6" s="319"/>
    </row>
    <row r="7" spans="1:14" x14ac:dyDescent="0.3">
      <c r="A7" s="343" t="s">
        <v>542</v>
      </c>
      <c r="B7" s="166" t="s">
        <v>1240</v>
      </c>
      <c r="C7" s="319"/>
      <c r="D7" s="319"/>
      <c r="E7" s="319"/>
      <c r="F7" s="319"/>
      <c r="G7" s="319"/>
      <c r="H7" s="319"/>
      <c r="I7" s="319"/>
      <c r="J7" s="319"/>
      <c r="K7" s="319"/>
      <c r="L7" s="319"/>
      <c r="M7" s="319"/>
      <c r="N7" s="319"/>
    </row>
    <row r="8" spans="1:14" x14ac:dyDescent="0.3">
      <c r="A8" s="166"/>
      <c r="B8" s="477"/>
      <c r="C8" s="477"/>
      <c r="D8" s="477"/>
      <c r="E8" s="477"/>
      <c r="F8" s="477"/>
      <c r="G8" s="477"/>
      <c r="H8" s="477"/>
      <c r="I8" s="477"/>
      <c r="J8" s="477"/>
      <c r="K8" s="477"/>
      <c r="L8" s="477"/>
      <c r="M8" s="477"/>
      <c r="N8" s="477"/>
    </row>
    <row r="9" spans="1:14" x14ac:dyDescent="0.3">
      <c r="A9" s="530" t="s">
        <v>544</v>
      </c>
      <c r="B9" s="531" t="s">
        <v>581</v>
      </c>
      <c r="C9" s="531" t="s">
        <v>549</v>
      </c>
      <c r="D9" s="531" t="s">
        <v>550</v>
      </c>
      <c r="E9" s="531" t="s">
        <v>567</v>
      </c>
      <c r="F9" s="531" t="s">
        <v>568</v>
      </c>
      <c r="G9" s="531" t="s">
        <v>569</v>
      </c>
      <c r="H9" s="531" t="s">
        <v>570</v>
      </c>
      <c r="I9" s="531" t="s">
        <v>582</v>
      </c>
      <c r="J9" s="531" t="s">
        <v>583</v>
      </c>
      <c r="K9" s="531" t="s">
        <v>584</v>
      </c>
      <c r="L9" s="531" t="s">
        <v>585</v>
      </c>
      <c r="M9" s="531" t="s">
        <v>28</v>
      </c>
      <c r="N9" s="531" t="s">
        <v>547</v>
      </c>
    </row>
    <row r="10" spans="1:14" x14ac:dyDescent="0.3">
      <c r="A10" s="184">
        <v>10</v>
      </c>
      <c r="B10" s="493" t="s">
        <v>1241</v>
      </c>
      <c r="C10" s="494" t="s">
        <v>1242</v>
      </c>
      <c r="D10" s="495">
        <v>4.2</v>
      </c>
      <c r="E10" s="496"/>
      <c r="F10" s="497"/>
      <c r="G10" s="496"/>
      <c r="H10" s="498"/>
      <c r="I10" s="466" t="s">
        <v>1243</v>
      </c>
      <c r="J10" s="503">
        <f>PI()*(0.051)^2</f>
        <v>8.1712824919870503E-3</v>
      </c>
      <c r="K10" s="500">
        <f>0.08805</f>
        <v>8.8050000000000003E-2</v>
      </c>
      <c r="L10" s="500">
        <v>2710</v>
      </c>
      <c r="M10" s="532">
        <v>1</v>
      </c>
      <c r="N10" s="501">
        <f>IF(J10="",D10*M10,D10*J10*K10*L10*M10)</f>
        <v>8.1891375613602921</v>
      </c>
    </row>
    <row r="11" spans="1:14" x14ac:dyDescent="0.3">
      <c r="A11" s="184">
        <v>20</v>
      </c>
      <c r="B11" s="381" t="s">
        <v>1241</v>
      </c>
      <c r="C11" s="494" t="s">
        <v>1244</v>
      </c>
      <c r="D11" s="495">
        <v>4.2</v>
      </c>
      <c r="E11" s="496"/>
      <c r="F11" s="497"/>
      <c r="G11" s="496"/>
      <c r="H11" s="498"/>
      <c r="I11" s="466" t="s">
        <v>1243</v>
      </c>
      <c r="J11" s="503">
        <f>PI()*(0.051)^2</f>
        <v>8.1712824919870503E-3</v>
      </c>
      <c r="K11" s="500">
        <f>0.0652</f>
        <v>6.5199999999999994E-2</v>
      </c>
      <c r="L11" s="500">
        <v>2710</v>
      </c>
      <c r="M11" s="532">
        <v>1</v>
      </c>
      <c r="N11" s="501">
        <f>IF(J11="",D11*M11,D11*J11*K11*L11*M11)</f>
        <v>6.0639610335115393</v>
      </c>
    </row>
    <row r="12" spans="1:14" x14ac:dyDescent="0.3">
      <c r="A12" s="184">
        <v>30</v>
      </c>
      <c r="B12" s="494" t="s">
        <v>1241</v>
      </c>
      <c r="C12" s="494" t="s">
        <v>1245</v>
      </c>
      <c r="D12" s="495">
        <v>4.2</v>
      </c>
      <c r="E12" s="496"/>
      <c r="F12" s="497"/>
      <c r="G12" s="496"/>
      <c r="H12" s="498"/>
      <c r="I12" s="502" t="s">
        <v>1243</v>
      </c>
      <c r="J12" s="503">
        <f>PI()*(0.051)^2</f>
        <v>8.1712824919870503E-3</v>
      </c>
      <c r="K12" s="500">
        <v>7.775E-2</v>
      </c>
      <c r="L12" s="533">
        <v>2710</v>
      </c>
      <c r="M12" s="532">
        <v>1</v>
      </c>
      <c r="N12" s="501">
        <f>IF(J12="",D12*M12,D12*J12*K12*L12*M12)</f>
        <v>7.2311805269251872</v>
      </c>
    </row>
    <row r="13" spans="1:14" x14ac:dyDescent="0.3">
      <c r="A13" s="184">
        <v>40</v>
      </c>
      <c r="B13" s="381" t="s">
        <v>1246</v>
      </c>
      <c r="C13" s="494"/>
      <c r="D13" s="495">
        <v>0.05</v>
      </c>
      <c r="E13" s="496"/>
      <c r="F13" s="497"/>
      <c r="G13" s="496"/>
      <c r="H13" s="498"/>
      <c r="I13" s="466"/>
      <c r="J13" s="499"/>
      <c r="K13" s="500"/>
      <c r="L13" s="500"/>
      <c r="M13" s="532">
        <v>2</v>
      </c>
      <c r="N13" s="501">
        <f>IF(J13="",D13*M13,D13*J13*K13*L13*M13)</f>
        <v>0.1</v>
      </c>
    </row>
    <row r="14" spans="1:14" x14ac:dyDescent="0.3">
      <c r="A14" s="534"/>
      <c r="B14" s="507"/>
      <c r="C14" s="507"/>
      <c r="D14" s="507"/>
      <c r="E14" s="507"/>
      <c r="F14" s="507"/>
      <c r="G14" s="507"/>
      <c r="H14" s="507"/>
      <c r="I14" s="507"/>
      <c r="J14" s="507"/>
      <c r="K14" s="507"/>
      <c r="L14" s="507"/>
      <c r="M14" s="372" t="s">
        <v>547</v>
      </c>
      <c r="N14" s="535">
        <f>SUM(N10:N13)</f>
        <v>21.584279121797021</v>
      </c>
    </row>
    <row r="15" spans="1:14" x14ac:dyDescent="0.3">
      <c r="A15" s="166"/>
      <c r="B15" s="477"/>
      <c r="C15" s="477"/>
      <c r="D15" s="477"/>
      <c r="E15" s="477"/>
      <c r="F15" s="477"/>
      <c r="G15" s="477"/>
      <c r="H15" s="477"/>
      <c r="I15" s="477"/>
      <c r="J15" s="477"/>
      <c r="K15" s="477"/>
      <c r="L15" s="477"/>
      <c r="M15" s="477"/>
      <c r="N15" s="477"/>
    </row>
    <row r="16" spans="1:14" x14ac:dyDescent="0.3">
      <c r="A16" s="530" t="s">
        <v>544</v>
      </c>
      <c r="B16" s="531" t="s">
        <v>548</v>
      </c>
      <c r="C16" s="531" t="s">
        <v>549</v>
      </c>
      <c r="D16" s="531" t="s">
        <v>550</v>
      </c>
      <c r="E16" s="531" t="s">
        <v>551</v>
      </c>
      <c r="F16" s="531" t="s">
        <v>28</v>
      </c>
      <c r="G16" s="531" t="s">
        <v>552</v>
      </c>
      <c r="H16" s="531" t="s">
        <v>553</v>
      </c>
      <c r="I16" s="531" t="s">
        <v>547</v>
      </c>
      <c r="J16" s="507"/>
      <c r="K16" s="507"/>
      <c r="L16" s="507"/>
      <c r="M16" s="507"/>
      <c r="N16" s="507"/>
    </row>
    <row r="17" spans="1:14" ht="28.8" x14ac:dyDescent="0.3">
      <c r="A17" s="184">
        <v>10</v>
      </c>
      <c r="B17" s="508" t="s">
        <v>589</v>
      </c>
      <c r="C17" s="508" t="s">
        <v>1247</v>
      </c>
      <c r="D17" s="495">
        <v>1.3</v>
      </c>
      <c r="E17" s="497" t="s">
        <v>556</v>
      </c>
      <c r="F17" s="496">
        <v>1</v>
      </c>
      <c r="G17" s="509"/>
      <c r="H17" s="509"/>
      <c r="I17" s="510">
        <f>D17*F17</f>
        <v>1.3</v>
      </c>
      <c r="J17" s="477"/>
      <c r="K17" s="477"/>
      <c r="L17" s="477"/>
      <c r="M17" s="477"/>
      <c r="N17" s="477"/>
    </row>
    <row r="18" spans="1:14" x14ac:dyDescent="0.3">
      <c r="A18" s="184">
        <v>20</v>
      </c>
      <c r="B18" s="508" t="s">
        <v>609</v>
      </c>
      <c r="C18" s="508" t="s">
        <v>1248</v>
      </c>
      <c r="D18" s="495">
        <v>0.04</v>
      </c>
      <c r="E18" s="497" t="s">
        <v>610</v>
      </c>
      <c r="F18" s="532">
        <f>J10*K10*1000000-96.02</f>
        <v>623.46142341945983</v>
      </c>
      <c r="G18" s="509" t="s">
        <v>710</v>
      </c>
      <c r="H18" s="509">
        <v>1</v>
      </c>
      <c r="I18" s="510">
        <f t="shared" ref="I18:I30" si="0">F18*D18</f>
        <v>24.938456936778394</v>
      </c>
      <c r="J18" s="477"/>
      <c r="K18" s="477"/>
      <c r="L18" s="477"/>
      <c r="M18" s="477"/>
      <c r="N18" s="477"/>
    </row>
    <row r="19" spans="1:14" ht="28.8" x14ac:dyDescent="0.3">
      <c r="A19" s="184">
        <v>30</v>
      </c>
      <c r="B19" s="508" t="s">
        <v>1249</v>
      </c>
      <c r="C19" s="508" t="s">
        <v>1250</v>
      </c>
      <c r="D19" s="495">
        <v>0.35</v>
      </c>
      <c r="E19" s="497" t="s">
        <v>843</v>
      </c>
      <c r="F19" s="496">
        <v>24</v>
      </c>
      <c r="G19" s="509"/>
      <c r="H19" s="509"/>
      <c r="I19" s="510">
        <f t="shared" si="0"/>
        <v>8.3999999999999986</v>
      </c>
      <c r="J19" s="477"/>
      <c r="K19" s="477"/>
      <c r="L19" s="477"/>
      <c r="M19" s="477"/>
      <c r="N19" s="477"/>
    </row>
    <row r="20" spans="1:14" ht="28.8" x14ac:dyDescent="0.3">
      <c r="A20" s="184">
        <v>40</v>
      </c>
      <c r="B20" s="508" t="s">
        <v>1249</v>
      </c>
      <c r="C20" s="508" t="s">
        <v>1251</v>
      </c>
      <c r="D20" s="495">
        <v>0.35</v>
      </c>
      <c r="E20" s="497" t="s">
        <v>843</v>
      </c>
      <c r="F20" s="496">
        <v>3</v>
      </c>
      <c r="G20" s="509"/>
      <c r="H20" s="509"/>
      <c r="I20" s="510">
        <f t="shared" si="0"/>
        <v>1.0499999999999998</v>
      </c>
      <c r="J20" s="477"/>
      <c r="K20" s="477"/>
      <c r="L20" s="477"/>
      <c r="M20" s="477"/>
      <c r="N20" s="477"/>
    </row>
    <row r="21" spans="1:14" ht="28.8" x14ac:dyDescent="0.3">
      <c r="A21" s="184">
        <v>50</v>
      </c>
      <c r="B21" s="508" t="s">
        <v>589</v>
      </c>
      <c r="C21" s="508" t="s">
        <v>1252</v>
      </c>
      <c r="D21" s="495">
        <v>1.3</v>
      </c>
      <c r="E21" s="497" t="s">
        <v>556</v>
      </c>
      <c r="F21" s="496">
        <v>1</v>
      </c>
      <c r="G21" s="509"/>
      <c r="H21" s="509"/>
      <c r="I21" s="510">
        <f t="shared" si="0"/>
        <v>1.3</v>
      </c>
      <c r="J21" s="477"/>
      <c r="K21" s="477"/>
      <c r="L21" s="477"/>
      <c r="M21" s="477"/>
      <c r="N21" s="477"/>
    </row>
    <row r="22" spans="1:14" ht="28.8" x14ac:dyDescent="0.3">
      <c r="A22" s="184">
        <v>60</v>
      </c>
      <c r="B22" s="508" t="s">
        <v>609</v>
      </c>
      <c r="C22" s="508" t="s">
        <v>1253</v>
      </c>
      <c r="D22" s="495">
        <v>0.04</v>
      </c>
      <c r="E22" s="497" t="s">
        <v>610</v>
      </c>
      <c r="F22" s="532">
        <f>J11*K11*1000000-106.3</f>
        <v>426.46761847755562</v>
      </c>
      <c r="G22" s="509" t="s">
        <v>710</v>
      </c>
      <c r="H22" s="509">
        <v>1</v>
      </c>
      <c r="I22" s="510">
        <f t="shared" si="0"/>
        <v>17.058704739102225</v>
      </c>
      <c r="J22" s="477"/>
      <c r="K22" s="477"/>
      <c r="L22" s="477"/>
      <c r="M22" s="477"/>
      <c r="N22" s="477"/>
    </row>
    <row r="23" spans="1:14" x14ac:dyDescent="0.3">
      <c r="A23" s="184">
        <v>70</v>
      </c>
      <c r="B23" s="508" t="s">
        <v>1254</v>
      </c>
      <c r="C23" s="508" t="s">
        <v>1255</v>
      </c>
      <c r="D23" s="495">
        <v>0.35</v>
      </c>
      <c r="E23" s="497" t="s">
        <v>843</v>
      </c>
      <c r="F23" s="496">
        <v>12</v>
      </c>
      <c r="G23" s="509"/>
      <c r="H23" s="509"/>
      <c r="I23" s="510">
        <f t="shared" si="0"/>
        <v>4.1999999999999993</v>
      </c>
      <c r="J23" s="477"/>
      <c r="K23" s="477"/>
      <c r="L23" s="477"/>
      <c r="M23" s="477"/>
      <c r="N23" s="477"/>
    </row>
    <row r="24" spans="1:14" x14ac:dyDescent="0.3">
      <c r="A24" s="184">
        <v>80</v>
      </c>
      <c r="B24" s="508" t="s">
        <v>1256</v>
      </c>
      <c r="C24" s="508" t="s">
        <v>1257</v>
      </c>
      <c r="D24" s="495">
        <v>0.5</v>
      </c>
      <c r="E24" s="497" t="s">
        <v>593</v>
      </c>
      <c r="F24" s="496">
        <v>3.5</v>
      </c>
      <c r="G24" s="509"/>
      <c r="H24" s="509"/>
      <c r="I24" s="510">
        <f t="shared" si="0"/>
        <v>1.75</v>
      </c>
      <c r="J24" s="477"/>
      <c r="K24" s="477"/>
      <c r="L24" s="477"/>
      <c r="M24" s="477"/>
      <c r="N24" s="477"/>
    </row>
    <row r="25" spans="1:14" ht="28.8" x14ac:dyDescent="0.3">
      <c r="A25" s="184">
        <v>90</v>
      </c>
      <c r="B25" s="508" t="s">
        <v>589</v>
      </c>
      <c r="C25" s="508" t="s">
        <v>1258</v>
      </c>
      <c r="D25" s="495">
        <v>0.35</v>
      </c>
      <c r="E25" s="497" t="s">
        <v>556</v>
      </c>
      <c r="F25" s="496">
        <v>1</v>
      </c>
      <c r="G25" s="509"/>
      <c r="H25" s="509"/>
      <c r="I25" s="510">
        <f t="shared" si="0"/>
        <v>0.35</v>
      </c>
      <c r="J25" s="477"/>
      <c r="K25" s="477"/>
      <c r="L25" s="477"/>
      <c r="M25" s="477"/>
      <c r="N25" s="477"/>
    </row>
    <row r="26" spans="1:14" x14ac:dyDescent="0.3">
      <c r="A26" s="184">
        <v>100</v>
      </c>
      <c r="B26" s="508" t="s">
        <v>609</v>
      </c>
      <c r="C26" s="508" t="s">
        <v>1259</v>
      </c>
      <c r="D26" s="495">
        <v>0.04</v>
      </c>
      <c r="E26" s="497" t="s">
        <v>610</v>
      </c>
      <c r="F26" s="532">
        <f>J12*K12*1000000-97</f>
        <v>538.31721375199311</v>
      </c>
      <c r="G26" s="509" t="s">
        <v>710</v>
      </c>
      <c r="H26" s="509">
        <v>1</v>
      </c>
      <c r="I26" s="510">
        <f t="shared" si="0"/>
        <v>21.532688550079726</v>
      </c>
      <c r="J26" s="477"/>
      <c r="K26" s="477"/>
      <c r="L26" s="477"/>
      <c r="M26" s="477"/>
      <c r="N26" s="477"/>
    </row>
    <row r="27" spans="1:14" x14ac:dyDescent="0.3">
      <c r="A27" s="184">
        <v>110</v>
      </c>
      <c r="B27" s="508" t="s">
        <v>1254</v>
      </c>
      <c r="C27" s="508" t="s">
        <v>1260</v>
      </c>
      <c r="D27" s="495">
        <v>0.35</v>
      </c>
      <c r="E27" s="497" t="s">
        <v>843</v>
      </c>
      <c r="F27" s="496">
        <v>12</v>
      </c>
      <c r="G27" s="509"/>
      <c r="H27" s="509"/>
      <c r="I27" s="510">
        <f t="shared" si="0"/>
        <v>4.1999999999999993</v>
      </c>
      <c r="J27" s="477"/>
      <c r="K27" s="477"/>
      <c r="L27" s="477"/>
      <c r="M27" s="477"/>
      <c r="N27" s="477"/>
    </row>
    <row r="28" spans="1:14" ht="28.8" x14ac:dyDescent="0.3">
      <c r="A28" s="184">
        <v>120</v>
      </c>
      <c r="B28" s="508" t="s">
        <v>749</v>
      </c>
      <c r="C28" s="508" t="s">
        <v>1261</v>
      </c>
      <c r="D28" s="495">
        <v>0.13</v>
      </c>
      <c r="E28" s="497" t="s">
        <v>556</v>
      </c>
      <c r="F28" s="496">
        <v>2</v>
      </c>
      <c r="G28" s="509"/>
      <c r="H28" s="509"/>
      <c r="I28" s="510">
        <f t="shared" si="0"/>
        <v>0.26</v>
      </c>
      <c r="J28" s="477"/>
      <c r="K28" s="477"/>
      <c r="L28" s="477"/>
      <c r="M28" s="477"/>
      <c r="N28" s="477"/>
    </row>
    <row r="29" spans="1:14" x14ac:dyDescent="0.3">
      <c r="A29" s="184">
        <v>130</v>
      </c>
      <c r="B29" s="508" t="s">
        <v>659</v>
      </c>
      <c r="C29" s="508" t="s">
        <v>1262</v>
      </c>
      <c r="D29" s="495">
        <v>0.5</v>
      </c>
      <c r="E29" s="497" t="s">
        <v>556</v>
      </c>
      <c r="F29" s="496">
        <v>24</v>
      </c>
      <c r="G29" s="509"/>
      <c r="H29" s="509"/>
      <c r="I29" s="510">
        <f t="shared" si="0"/>
        <v>12</v>
      </c>
      <c r="J29" s="477"/>
      <c r="K29" s="477"/>
      <c r="L29" s="477"/>
      <c r="M29" s="477"/>
      <c r="N29" s="477"/>
    </row>
    <row r="30" spans="1:14" x14ac:dyDescent="0.3">
      <c r="A30" s="184">
        <v>140</v>
      </c>
      <c r="B30" s="508" t="s">
        <v>559</v>
      </c>
      <c r="C30" s="508" t="s">
        <v>1263</v>
      </c>
      <c r="D30" s="495">
        <v>0.75</v>
      </c>
      <c r="E30" s="497" t="s">
        <v>556</v>
      </c>
      <c r="F30" s="496">
        <v>3</v>
      </c>
      <c r="G30" s="509"/>
      <c r="H30" s="509"/>
      <c r="I30" s="510">
        <f t="shared" si="0"/>
        <v>2.25</v>
      </c>
      <c r="J30" s="477"/>
      <c r="K30" s="477"/>
      <c r="L30" s="477"/>
      <c r="M30" s="477"/>
      <c r="N30" s="477"/>
    </row>
    <row r="31" spans="1:14" x14ac:dyDescent="0.3">
      <c r="A31" s="534"/>
      <c r="B31" s="507"/>
      <c r="C31" s="507"/>
      <c r="D31" s="507"/>
      <c r="E31" s="507"/>
      <c r="F31" s="507"/>
      <c r="G31" s="507"/>
      <c r="H31" s="531" t="s">
        <v>547</v>
      </c>
      <c r="I31" s="535">
        <f>SUM(I17:I30)</f>
        <v>100.58985022596036</v>
      </c>
      <c r="J31" s="507"/>
      <c r="K31" s="507"/>
      <c r="L31" s="507"/>
      <c r="M31" s="507"/>
      <c r="N31" s="507"/>
    </row>
    <row r="32" spans="1:14" x14ac:dyDescent="0.3">
      <c r="A32" s="166"/>
      <c r="B32" s="477"/>
      <c r="C32" s="477"/>
      <c r="D32" s="477"/>
      <c r="E32" s="477"/>
      <c r="F32" s="477"/>
      <c r="G32" s="477"/>
      <c r="H32" s="477"/>
      <c r="I32" s="477"/>
      <c r="J32" s="477"/>
      <c r="K32" s="477"/>
      <c r="L32" s="477"/>
      <c r="M32" s="477"/>
      <c r="N32" s="477"/>
    </row>
    <row r="33" spans="1:14" x14ac:dyDescent="0.3">
      <c r="A33" s="530" t="s">
        <v>544</v>
      </c>
      <c r="B33" s="531" t="s">
        <v>566</v>
      </c>
      <c r="C33" s="531" t="s">
        <v>549</v>
      </c>
      <c r="D33" s="531" t="s">
        <v>550</v>
      </c>
      <c r="E33" s="531" t="s">
        <v>567</v>
      </c>
      <c r="F33" s="531" t="s">
        <v>568</v>
      </c>
      <c r="G33" s="531" t="s">
        <v>569</v>
      </c>
      <c r="H33" s="531" t="s">
        <v>570</v>
      </c>
      <c r="I33" s="531" t="s">
        <v>28</v>
      </c>
      <c r="J33" s="531" t="s">
        <v>547</v>
      </c>
      <c r="K33" s="507"/>
      <c r="L33" s="507"/>
      <c r="M33" s="507"/>
      <c r="N33" s="507"/>
    </row>
    <row r="34" spans="1:14" x14ac:dyDescent="0.3">
      <c r="A34" s="272">
        <v>10</v>
      </c>
      <c r="B34" s="381" t="s">
        <v>1264</v>
      </c>
      <c r="C34" s="486" t="s">
        <v>1265</v>
      </c>
      <c r="D34" s="523">
        <v>0.06</v>
      </c>
      <c r="E34" s="496">
        <v>6</v>
      </c>
      <c r="F34" s="524" t="s">
        <v>573</v>
      </c>
      <c r="G34" s="496">
        <v>14</v>
      </c>
      <c r="H34" s="525" t="s">
        <v>573</v>
      </c>
      <c r="I34" s="526">
        <v>24</v>
      </c>
      <c r="J34" s="495">
        <f>D34*I34</f>
        <v>1.44</v>
      </c>
      <c r="K34" s="477"/>
      <c r="L34" s="477"/>
      <c r="M34" s="477"/>
      <c r="N34" s="477"/>
    </row>
    <row r="35" spans="1:14" x14ac:dyDescent="0.3">
      <c r="A35" s="272">
        <v>20</v>
      </c>
      <c r="B35" s="381" t="s">
        <v>1266</v>
      </c>
      <c r="C35" s="486"/>
      <c r="D35" s="523">
        <v>0.02</v>
      </c>
      <c r="E35" s="496"/>
      <c r="F35" s="524" t="s">
        <v>556</v>
      </c>
      <c r="G35" s="496"/>
      <c r="H35" s="525"/>
      <c r="I35" s="526">
        <v>24</v>
      </c>
      <c r="J35" s="495">
        <f>D35*I35</f>
        <v>0.48</v>
      </c>
      <c r="K35" s="477"/>
      <c r="L35" s="477"/>
      <c r="M35" s="477"/>
      <c r="N35" s="477"/>
    </row>
    <row r="36" spans="1:14" x14ac:dyDescent="0.3">
      <c r="A36" s="272">
        <v>30</v>
      </c>
      <c r="B36" s="381" t="s">
        <v>1267</v>
      </c>
      <c r="C36" s="486" t="s">
        <v>1268</v>
      </c>
      <c r="D36" s="523">
        <v>7.0000000000000007E-2</v>
      </c>
      <c r="E36" s="496">
        <v>8</v>
      </c>
      <c r="F36" s="524" t="s">
        <v>573</v>
      </c>
      <c r="G36" s="496">
        <v>8</v>
      </c>
      <c r="H36" s="525" t="s">
        <v>573</v>
      </c>
      <c r="I36" s="526">
        <v>3</v>
      </c>
      <c r="J36" s="495">
        <f>D36*I36</f>
        <v>0.21000000000000002</v>
      </c>
      <c r="K36" s="477"/>
      <c r="L36" s="477"/>
      <c r="M36" s="477"/>
      <c r="N36" s="477"/>
    </row>
    <row r="37" spans="1:14" ht="28.8" x14ac:dyDescent="0.3">
      <c r="A37" s="184">
        <v>40</v>
      </c>
      <c r="B37" s="381" t="s">
        <v>637</v>
      </c>
      <c r="C37" s="486" t="s">
        <v>1269</v>
      </c>
      <c r="D37" s="523">
        <v>0.33600000000000002</v>
      </c>
      <c r="E37" s="496">
        <v>8</v>
      </c>
      <c r="F37" s="524" t="s">
        <v>573</v>
      </c>
      <c r="G37" s="496"/>
      <c r="H37" s="525"/>
      <c r="I37" s="526">
        <v>3</v>
      </c>
      <c r="J37" s="495">
        <f>D37*I37</f>
        <v>1.008</v>
      </c>
      <c r="K37" s="477"/>
      <c r="L37" s="477"/>
      <c r="M37" s="477"/>
      <c r="N37" s="477"/>
    </row>
    <row r="38" spans="1:14" x14ac:dyDescent="0.3">
      <c r="A38" s="534"/>
      <c r="B38" s="507"/>
      <c r="C38" s="507"/>
      <c r="D38" s="507"/>
      <c r="E38" s="507"/>
      <c r="F38" s="507"/>
      <c r="G38" s="507"/>
      <c r="H38" s="507"/>
      <c r="I38" s="531" t="s">
        <v>547</v>
      </c>
      <c r="J38" s="536">
        <f>SUM(J34:J37)</f>
        <v>3.1379999999999999</v>
      </c>
      <c r="K38" s="507"/>
      <c r="L38" s="507"/>
      <c r="M38" s="507"/>
      <c r="N38" s="507"/>
    </row>
    <row r="39" spans="1:14" x14ac:dyDescent="0.3">
      <c r="A39" s="166"/>
      <c r="B39" s="477"/>
      <c r="C39" s="477"/>
      <c r="D39" s="477"/>
      <c r="E39" s="477"/>
      <c r="F39" s="477"/>
      <c r="G39" s="477"/>
      <c r="H39" s="477"/>
      <c r="I39" s="537"/>
      <c r="J39" s="477"/>
      <c r="K39" s="477"/>
      <c r="L39" s="477"/>
      <c r="M39" s="477"/>
      <c r="N39" s="477"/>
    </row>
    <row r="40" spans="1:14" x14ac:dyDescent="0.3">
      <c r="A40" s="166"/>
      <c r="B40" s="166"/>
      <c r="C40" s="166"/>
      <c r="D40" s="166"/>
      <c r="E40" s="166"/>
      <c r="F40" s="166"/>
      <c r="G40" s="166"/>
      <c r="H40" s="166"/>
      <c r="I40" s="538"/>
      <c r="J40" s="166"/>
      <c r="K40" s="166"/>
      <c r="L40" s="166"/>
      <c r="M40" s="166"/>
      <c r="N40" s="166"/>
    </row>
  </sheetData>
  <pageMargins left="0.7" right="0.7" top="0.75" bottom="0.75" header="0.3" footer="0.3"/>
  <pageSetup paperSize="9" scale="54"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404</vt:i4>
      </vt:variant>
      <vt:variant>
        <vt:lpstr>Named Ranges</vt:lpstr>
      </vt:variant>
      <vt:variant>
        <vt:i4>165</vt:i4>
      </vt:variant>
    </vt:vector>
  </HeadingPairs>
  <TitlesOfParts>
    <vt:vector size="569" baseType="lpstr">
      <vt:lpstr>Cover</vt:lpstr>
      <vt:lpstr>Summary</vt:lpstr>
      <vt:lpstr>BOM</vt:lpstr>
      <vt:lpstr>Brake System</vt:lpstr>
      <vt:lpstr>BR A0001</vt:lpstr>
      <vt:lpstr>BR 01001</vt:lpstr>
      <vt:lpstr>BR 01002</vt:lpstr>
      <vt:lpstr>BR 01003</vt:lpstr>
      <vt:lpstr>BR 01004</vt:lpstr>
      <vt:lpstr>BR 01005</vt:lpstr>
      <vt:lpstr>BR A0002</vt:lpstr>
      <vt:lpstr>BR 02001</vt:lpstr>
      <vt:lpstr>BR 02002</vt:lpstr>
      <vt:lpstr>BR 02003</vt:lpstr>
      <vt:lpstr>BR 02004</vt:lpstr>
      <vt:lpstr>BR 02005</vt:lpstr>
      <vt:lpstr>BR A0003</vt:lpstr>
      <vt:lpstr>BR 03001</vt:lpstr>
      <vt:lpstr>BR 03002</vt:lpstr>
      <vt:lpstr>BR 03003</vt:lpstr>
      <vt:lpstr>BR 03004</vt:lpstr>
      <vt:lpstr>BR 03005</vt:lpstr>
      <vt:lpstr>BR 03006</vt:lpstr>
      <vt:lpstr>BR 03007</vt:lpstr>
      <vt:lpstr>Engine and Drivetrain</vt:lpstr>
      <vt:lpstr>EN A0001</vt:lpstr>
      <vt:lpstr>EN 01001</vt:lpstr>
      <vt:lpstr>EN 01002</vt:lpstr>
      <vt:lpstr>EN 01003</vt:lpstr>
      <vt:lpstr>EN 01004</vt:lpstr>
      <vt:lpstr>EN 01005</vt:lpstr>
      <vt:lpstr>EN 01006</vt:lpstr>
      <vt:lpstr>EN 01007</vt:lpstr>
      <vt:lpstr>EN 01008</vt:lpstr>
      <vt:lpstr>EN 01009</vt:lpstr>
      <vt:lpstr>EN A0002</vt:lpstr>
      <vt:lpstr>EN 02001</vt:lpstr>
      <vt:lpstr>EN 02002</vt:lpstr>
      <vt:lpstr>EN 02003</vt:lpstr>
      <vt:lpstr>EN 02004</vt:lpstr>
      <vt:lpstr>EN 02005</vt:lpstr>
      <vt:lpstr>EN 02006</vt:lpstr>
      <vt:lpstr>EN 02007</vt:lpstr>
      <vt:lpstr>EN 02008</vt:lpstr>
      <vt:lpstr>EN 02009</vt:lpstr>
      <vt:lpstr>EN A0003</vt:lpstr>
      <vt:lpstr>EN 03001</vt:lpstr>
      <vt:lpstr>EN 03002</vt:lpstr>
      <vt:lpstr>EN 03003</vt:lpstr>
      <vt:lpstr>EN 03004</vt:lpstr>
      <vt:lpstr>EN 03005</vt:lpstr>
      <vt:lpstr>EN 03006</vt:lpstr>
      <vt:lpstr>EN 03007</vt:lpstr>
      <vt:lpstr>EN 03008</vt:lpstr>
      <vt:lpstr>EN A0004</vt:lpstr>
      <vt:lpstr>EN 04001</vt:lpstr>
      <vt:lpstr>EN 04002</vt:lpstr>
      <vt:lpstr>EN 04003</vt:lpstr>
      <vt:lpstr>EN 04004</vt:lpstr>
      <vt:lpstr>EN 04005</vt:lpstr>
      <vt:lpstr>EN A0005</vt:lpstr>
      <vt:lpstr>EN 05001</vt:lpstr>
      <vt:lpstr>EN 05002</vt:lpstr>
      <vt:lpstr>EN 05003</vt:lpstr>
      <vt:lpstr>EN 05004</vt:lpstr>
      <vt:lpstr>EN 05005</vt:lpstr>
      <vt:lpstr>EN 05006</vt:lpstr>
      <vt:lpstr>EN 05007</vt:lpstr>
      <vt:lpstr>EN 05008</vt:lpstr>
      <vt:lpstr>EN 05009</vt:lpstr>
      <vt:lpstr>EN 05010</vt:lpstr>
      <vt:lpstr>EN A0006</vt:lpstr>
      <vt:lpstr>EN 06001</vt:lpstr>
      <vt:lpstr>EN 06002</vt:lpstr>
      <vt:lpstr>EN 06003</vt:lpstr>
      <vt:lpstr>EN 06004</vt:lpstr>
      <vt:lpstr>EN 06005</vt:lpstr>
      <vt:lpstr>EN 06006</vt:lpstr>
      <vt:lpstr>EN 06007</vt:lpstr>
      <vt:lpstr>EN 06008</vt:lpstr>
      <vt:lpstr>EN 06009</vt:lpstr>
      <vt:lpstr>EN 06010</vt:lpstr>
      <vt:lpstr>EN 06011</vt:lpstr>
      <vt:lpstr>EN 06012</vt:lpstr>
      <vt:lpstr>EN 06013</vt:lpstr>
      <vt:lpstr>EN A0007</vt:lpstr>
      <vt:lpstr>EN 07001</vt:lpstr>
      <vt:lpstr>EN 07002</vt:lpstr>
      <vt:lpstr>EN A0008</vt:lpstr>
      <vt:lpstr>EN 08001</vt:lpstr>
      <vt:lpstr>EN 08002</vt:lpstr>
      <vt:lpstr>EN 08003</vt:lpstr>
      <vt:lpstr>EN 08004</vt:lpstr>
      <vt:lpstr>EN 08005</vt:lpstr>
      <vt:lpstr>EN 08006</vt:lpstr>
      <vt:lpstr>EN 08007</vt:lpstr>
      <vt:lpstr>EN 08008</vt:lpstr>
      <vt:lpstr>EN A0009</vt:lpstr>
      <vt:lpstr>EN 09001</vt:lpstr>
      <vt:lpstr>EN 09002</vt:lpstr>
      <vt:lpstr>EN 09003</vt:lpstr>
      <vt:lpstr>EN 09004</vt:lpstr>
      <vt:lpstr>EN 09005</vt:lpstr>
      <vt:lpstr>EN A0010</vt:lpstr>
      <vt:lpstr>EN 10001</vt:lpstr>
      <vt:lpstr>EN 10002</vt:lpstr>
      <vt:lpstr>EN 10003</vt:lpstr>
      <vt:lpstr>EN 10004</vt:lpstr>
      <vt:lpstr>EN A0011</vt:lpstr>
      <vt:lpstr>EN 11001</vt:lpstr>
      <vt:lpstr>EN 11002</vt:lpstr>
      <vt:lpstr>EN 11003</vt:lpstr>
      <vt:lpstr>EN A0012</vt:lpstr>
      <vt:lpstr>EN 12001</vt:lpstr>
      <vt:lpstr>EN 12002</vt:lpstr>
      <vt:lpstr>EN 12003</vt:lpstr>
      <vt:lpstr>EN 12004</vt:lpstr>
      <vt:lpstr>EN 12005</vt:lpstr>
      <vt:lpstr>EN 12006</vt:lpstr>
      <vt:lpstr>Frame and Body</vt:lpstr>
      <vt:lpstr>FR A0001</vt:lpstr>
      <vt:lpstr>FR 01001</vt:lpstr>
      <vt:lpstr>FR 01002</vt:lpstr>
      <vt:lpstr>FR 01003</vt:lpstr>
      <vt:lpstr>FR A0002</vt:lpstr>
      <vt:lpstr>FR 02001</vt:lpstr>
      <vt:lpstr>FR 02002</vt:lpstr>
      <vt:lpstr>FR A0003</vt:lpstr>
      <vt:lpstr>FR 03001</vt:lpstr>
      <vt:lpstr>FR 03002</vt:lpstr>
      <vt:lpstr>FR 03003</vt:lpstr>
      <vt:lpstr>FR 03004</vt:lpstr>
      <vt:lpstr>FR 03005</vt:lpstr>
      <vt:lpstr>FR 03006</vt:lpstr>
      <vt:lpstr>FR 03007</vt:lpstr>
      <vt:lpstr>FR A0004</vt:lpstr>
      <vt:lpstr>FR 04001</vt:lpstr>
      <vt:lpstr>FR 04002</vt:lpstr>
      <vt:lpstr>FR 04003</vt:lpstr>
      <vt:lpstr>FR 04004</vt:lpstr>
      <vt:lpstr>FR 04005</vt:lpstr>
      <vt:lpstr>FR 04006</vt:lpstr>
      <vt:lpstr>FR 04007</vt:lpstr>
      <vt:lpstr>FR 04008</vt:lpstr>
      <vt:lpstr>FR 04009</vt:lpstr>
      <vt:lpstr>FR 04010</vt:lpstr>
      <vt:lpstr>FR 04011</vt:lpstr>
      <vt:lpstr>FR 04012</vt:lpstr>
      <vt:lpstr>FR 04013</vt:lpstr>
      <vt:lpstr>FR 04014</vt:lpstr>
      <vt:lpstr>FR 04015</vt:lpstr>
      <vt:lpstr>FR 04016</vt:lpstr>
      <vt:lpstr>FR 04017</vt:lpstr>
      <vt:lpstr>FR 04018</vt:lpstr>
      <vt:lpstr>FR 04019</vt:lpstr>
      <vt:lpstr>FR 04020</vt:lpstr>
      <vt:lpstr>FR 04021</vt:lpstr>
      <vt:lpstr>FR 04022</vt:lpstr>
      <vt:lpstr>FR A0005</vt:lpstr>
      <vt:lpstr>FR 05001</vt:lpstr>
      <vt:lpstr>FR 05002</vt:lpstr>
      <vt:lpstr>FR 05003</vt:lpstr>
      <vt:lpstr>FR 05004</vt:lpstr>
      <vt:lpstr>FR 05005</vt:lpstr>
      <vt:lpstr>FR 05006</vt:lpstr>
      <vt:lpstr>FR 05007</vt:lpstr>
      <vt:lpstr>FR 05008</vt:lpstr>
      <vt:lpstr>FR A0006</vt:lpstr>
      <vt:lpstr>FR 06001</vt:lpstr>
      <vt:lpstr>FR 06002</vt:lpstr>
      <vt:lpstr>FR 06003</vt:lpstr>
      <vt:lpstr>FR A0007</vt:lpstr>
      <vt:lpstr>FR 07001</vt:lpstr>
      <vt:lpstr>FR 07002</vt:lpstr>
      <vt:lpstr>FR 07003</vt:lpstr>
      <vt:lpstr>FR 07004</vt:lpstr>
      <vt:lpstr>FR 07005</vt:lpstr>
      <vt:lpstr>FR 07006</vt:lpstr>
      <vt:lpstr>FR 07007</vt:lpstr>
      <vt:lpstr>FR 07008</vt:lpstr>
      <vt:lpstr>FR A0008</vt:lpstr>
      <vt:lpstr>FR 08001</vt:lpstr>
      <vt:lpstr>FR 08002</vt:lpstr>
      <vt:lpstr>FR 08003</vt:lpstr>
      <vt:lpstr>FR 08004</vt:lpstr>
      <vt:lpstr>FR 08005</vt:lpstr>
      <vt:lpstr>FR 08006</vt:lpstr>
      <vt:lpstr>FR 08007</vt:lpstr>
      <vt:lpstr>FR 08008</vt:lpstr>
      <vt:lpstr>FR 08009</vt:lpstr>
      <vt:lpstr>FR 08010</vt:lpstr>
      <vt:lpstr>FR 08011</vt:lpstr>
      <vt:lpstr>FR 08012</vt:lpstr>
      <vt:lpstr>FR 08013</vt:lpstr>
      <vt:lpstr>FR 08014</vt:lpstr>
      <vt:lpstr>FR 08015</vt:lpstr>
      <vt:lpstr>FR 08016</vt:lpstr>
      <vt:lpstr>FR 08017</vt:lpstr>
      <vt:lpstr>FR 08018</vt:lpstr>
      <vt:lpstr>FR 08019</vt:lpstr>
      <vt:lpstr>Electrical System</vt:lpstr>
      <vt:lpstr>EL A0001</vt:lpstr>
      <vt:lpstr>EL 01001</vt:lpstr>
      <vt:lpstr>EL 01002</vt:lpstr>
      <vt:lpstr>EL 01003</vt:lpstr>
      <vt:lpstr>EL A0002</vt:lpstr>
      <vt:lpstr>EL 02001</vt:lpstr>
      <vt:lpstr>EL 02002</vt:lpstr>
      <vt:lpstr>EL 02003</vt:lpstr>
      <vt:lpstr>EL 02004</vt:lpstr>
      <vt:lpstr>EL 02005</vt:lpstr>
      <vt:lpstr>EL A0003</vt:lpstr>
      <vt:lpstr>EL 03001</vt:lpstr>
      <vt:lpstr>EL 03002</vt:lpstr>
      <vt:lpstr>EL A0004</vt:lpstr>
      <vt:lpstr>EL 04001</vt:lpstr>
      <vt:lpstr>EL 04002</vt:lpstr>
      <vt:lpstr>EL 04003</vt:lpstr>
      <vt:lpstr>Miscellaneous Fit and Finish</vt:lpstr>
      <vt:lpstr>MS A0001</vt:lpstr>
      <vt:lpstr>MS 01001</vt:lpstr>
      <vt:lpstr>MS 01002</vt:lpstr>
      <vt:lpstr>MS 01003</vt:lpstr>
      <vt:lpstr>MS 01004</vt:lpstr>
      <vt:lpstr>MS 01005</vt:lpstr>
      <vt:lpstr>MS 01006</vt:lpstr>
      <vt:lpstr>MS 01007</vt:lpstr>
      <vt:lpstr>MS 01008</vt:lpstr>
      <vt:lpstr>MS 01009</vt:lpstr>
      <vt:lpstr>MS 01010</vt:lpstr>
      <vt:lpstr>MS 01011</vt:lpstr>
      <vt:lpstr>MS 01012</vt:lpstr>
      <vt:lpstr>MS 01013</vt:lpstr>
      <vt:lpstr>MS 01014</vt:lpstr>
      <vt:lpstr>MS 01015</vt:lpstr>
      <vt:lpstr>MS A0002</vt:lpstr>
      <vt:lpstr>MS 02001</vt:lpstr>
      <vt:lpstr>MS A0003</vt:lpstr>
      <vt:lpstr>MS 03001</vt:lpstr>
      <vt:lpstr>MS 03002</vt:lpstr>
      <vt:lpstr>MS 03003</vt:lpstr>
      <vt:lpstr>MS 03004</vt:lpstr>
      <vt:lpstr>MS 03005</vt:lpstr>
      <vt:lpstr>MS A0004</vt:lpstr>
      <vt:lpstr>MS 04001</vt:lpstr>
      <vt:lpstr>MS A0005</vt:lpstr>
      <vt:lpstr>MS 05001</vt:lpstr>
      <vt:lpstr>MS 05002</vt:lpstr>
      <vt:lpstr>MS 05003</vt:lpstr>
      <vt:lpstr>MS 05004</vt:lpstr>
      <vt:lpstr>MS 05005</vt:lpstr>
      <vt:lpstr>MS 05006</vt:lpstr>
      <vt:lpstr>MS 05007</vt:lpstr>
      <vt:lpstr>Steering</vt:lpstr>
      <vt:lpstr>ST A0001</vt:lpstr>
      <vt:lpstr>ST 01001</vt:lpstr>
      <vt:lpstr>ST 01002</vt:lpstr>
      <vt:lpstr>ST 01003</vt:lpstr>
      <vt:lpstr>ST 01004</vt:lpstr>
      <vt:lpstr>ST 01005</vt:lpstr>
      <vt:lpstr>ST 01006</vt:lpstr>
      <vt:lpstr>ST 01007</vt:lpstr>
      <vt:lpstr>ST 01008</vt:lpstr>
      <vt:lpstr>ST 01009</vt:lpstr>
      <vt:lpstr>ST 01010</vt:lpstr>
      <vt:lpstr>ST A0002</vt:lpstr>
      <vt:lpstr>ST 02001</vt:lpstr>
      <vt:lpstr>ST 02002</vt:lpstr>
      <vt:lpstr>ST 02003</vt:lpstr>
      <vt:lpstr>ST A0003</vt:lpstr>
      <vt:lpstr>ST 03001</vt:lpstr>
      <vt:lpstr>ST 03002</vt:lpstr>
      <vt:lpstr>ST 03003</vt:lpstr>
      <vt:lpstr>ST 03004</vt:lpstr>
      <vt:lpstr>ST A0004</vt:lpstr>
      <vt:lpstr>ST 04001</vt:lpstr>
      <vt:lpstr>ST 04002</vt:lpstr>
      <vt:lpstr>ST 04003</vt:lpstr>
      <vt:lpstr>ST 04004</vt:lpstr>
      <vt:lpstr>ST 04005</vt:lpstr>
      <vt:lpstr>ST 04006</vt:lpstr>
      <vt:lpstr>ST 04007</vt:lpstr>
      <vt:lpstr>Suspensions</vt:lpstr>
      <vt:lpstr>SU A0001</vt:lpstr>
      <vt:lpstr>SU 01001</vt:lpstr>
      <vt:lpstr>SU 01002</vt:lpstr>
      <vt:lpstr>SU 01003</vt:lpstr>
      <vt:lpstr>SU 01004</vt:lpstr>
      <vt:lpstr>SU 01005</vt:lpstr>
      <vt:lpstr>SU A0002</vt:lpstr>
      <vt:lpstr>SU 02001</vt:lpstr>
      <vt:lpstr>SU 02002</vt:lpstr>
      <vt:lpstr>SU 02003</vt:lpstr>
      <vt:lpstr>SU 02004</vt:lpstr>
      <vt:lpstr>SU 02005</vt:lpstr>
      <vt:lpstr>SU A0003</vt:lpstr>
      <vt:lpstr>SU 03001</vt:lpstr>
      <vt:lpstr>SU 03002</vt:lpstr>
      <vt:lpstr>SU 03003</vt:lpstr>
      <vt:lpstr>SU 03004</vt:lpstr>
      <vt:lpstr>SU 03005</vt:lpstr>
      <vt:lpstr>SU 03006</vt:lpstr>
      <vt:lpstr>SU A0004</vt:lpstr>
      <vt:lpstr>SU 04001</vt:lpstr>
      <vt:lpstr>SU 04002</vt:lpstr>
      <vt:lpstr>SU 04003</vt:lpstr>
      <vt:lpstr>SU 04004</vt:lpstr>
      <vt:lpstr>SU 04005</vt:lpstr>
      <vt:lpstr>SU 04006</vt:lpstr>
      <vt:lpstr>SU 04007</vt:lpstr>
      <vt:lpstr>SU 04008</vt:lpstr>
      <vt:lpstr>SU A0005</vt:lpstr>
      <vt:lpstr>SU 05001</vt:lpstr>
      <vt:lpstr>SU 05002</vt:lpstr>
      <vt:lpstr>SU 05003</vt:lpstr>
      <vt:lpstr>SU A0006</vt:lpstr>
      <vt:lpstr>SU 06001</vt:lpstr>
      <vt:lpstr>SU 06002</vt:lpstr>
      <vt:lpstr>SU 06003</vt:lpstr>
      <vt:lpstr>SU 06004</vt:lpstr>
      <vt:lpstr>SU A0007</vt:lpstr>
      <vt:lpstr>SU 07001</vt:lpstr>
      <vt:lpstr>SU 07002</vt:lpstr>
      <vt:lpstr>SU 07003</vt:lpstr>
      <vt:lpstr>SU A0008</vt:lpstr>
      <vt:lpstr>SU 08001</vt:lpstr>
      <vt:lpstr>SU 08002</vt:lpstr>
      <vt:lpstr>SU 08003</vt:lpstr>
      <vt:lpstr>SU 08004</vt:lpstr>
      <vt:lpstr>SU A0009</vt:lpstr>
      <vt:lpstr>SU 09001</vt:lpstr>
      <vt:lpstr>SU 09002</vt:lpstr>
      <vt:lpstr>SU 09003</vt:lpstr>
      <vt:lpstr>SU 09004</vt:lpstr>
      <vt:lpstr>SU A0010</vt:lpstr>
      <vt:lpstr>SU 10001</vt:lpstr>
      <vt:lpstr>SU 10002</vt:lpstr>
      <vt:lpstr>SU 10003</vt:lpstr>
      <vt:lpstr>SU A0011</vt:lpstr>
      <vt:lpstr>SU 11001</vt:lpstr>
      <vt:lpstr>SU 11002</vt:lpstr>
      <vt:lpstr>SU 11003</vt:lpstr>
      <vt:lpstr>SU 11004</vt:lpstr>
      <vt:lpstr>SU 11005</vt:lpstr>
      <vt:lpstr>SU 11006</vt:lpstr>
      <vt:lpstr>SU 11007</vt:lpstr>
      <vt:lpstr>SU A0012</vt:lpstr>
      <vt:lpstr>SU 12001</vt:lpstr>
      <vt:lpstr>SU 12002</vt:lpstr>
      <vt:lpstr>SU 12003</vt:lpstr>
      <vt:lpstr>SU 12004</vt:lpstr>
      <vt:lpstr>SU 12005</vt:lpstr>
      <vt:lpstr>SU 12006</vt:lpstr>
      <vt:lpstr>SU 12007</vt:lpstr>
      <vt:lpstr>Wheels and Tires</vt:lpstr>
      <vt:lpstr>WT A0001</vt:lpstr>
      <vt:lpstr>WT 01001</vt:lpstr>
      <vt:lpstr>WT 01002</vt:lpstr>
      <vt:lpstr>WT 01003</vt:lpstr>
      <vt:lpstr>WT A0002</vt:lpstr>
      <vt:lpstr>WT 02001</vt:lpstr>
      <vt:lpstr>WT 02002</vt:lpstr>
      <vt:lpstr>WT 02003</vt:lpstr>
      <vt:lpstr>WT A0003</vt:lpstr>
      <vt:lpstr>WT 03001</vt:lpstr>
      <vt:lpstr>WT 03002</vt:lpstr>
      <vt:lpstr>Shrink disc drawing</vt:lpstr>
      <vt:lpstr>Upper mount drawing</vt:lpstr>
      <vt:lpstr>Bottom mount drawing</vt:lpstr>
      <vt:lpstr>Bottom link drawing</vt:lpstr>
      <vt:lpstr>Exhaust tip drawing</vt:lpstr>
      <vt:lpstr>Exhaust flange drawing</vt:lpstr>
      <vt:lpstr>Fuel tank drawing</vt:lpstr>
      <vt:lpstr>Front tab drawing</vt:lpstr>
      <vt:lpstr>Pipe end drawing</vt:lpstr>
      <vt:lpstr>Injector housing drawing</vt:lpstr>
      <vt:lpstr>Bearing Carrier</vt:lpstr>
      <vt:lpstr>Rear sprocket adapter drawing</vt:lpstr>
      <vt:lpstr>Upper chain shield drawing</vt:lpstr>
      <vt:lpstr>Jacking Point Tab Drawing</vt:lpstr>
      <vt:lpstr>Attenuator Drawing</vt:lpstr>
      <vt:lpstr>Pedal rail</vt:lpstr>
      <vt:lpstr>Pedal base</vt:lpstr>
      <vt:lpstr>Throttle Pedal</vt:lpstr>
      <vt:lpstr>Brake Pedal</vt:lpstr>
      <vt:lpstr>Actuator right mount</vt:lpstr>
      <vt:lpstr>Shift lever drawing</vt:lpstr>
      <vt:lpstr>Firewall main drawing</vt:lpstr>
      <vt:lpstr>Firewall lower drawing</vt:lpstr>
      <vt:lpstr>Steering column mount drawing</vt:lpstr>
      <vt:lpstr>Steering Wheel Mount drawing</vt:lpstr>
      <vt:lpstr>Steering Spacer drawing</vt:lpstr>
      <vt:lpstr>Lower rack mount drawing</vt:lpstr>
      <vt:lpstr>Bearing support drawing</vt:lpstr>
      <vt:lpstr>Double bearing support drawing</vt:lpstr>
      <vt:lpstr>Upper bearing support drawing</vt:lpstr>
      <vt:lpstr>Rear suspension insert drawing</vt:lpstr>
      <vt:lpstr>Rocker drawing</vt:lpstr>
      <vt:lpstr>Front upright drawing</vt:lpstr>
      <vt:lpstr>Steering tab drawing</vt:lpstr>
      <vt:lpstr>Rear uprights drawing</vt:lpstr>
      <vt:lpstr>Front hub drawing</vt:lpstr>
      <vt:lpstr>Sensor target drawing</vt:lpstr>
      <vt:lpstr>Rear hub drawing</vt:lpstr>
      <vt:lpstr>'EL 02001'!Print_Area</vt:lpstr>
      <vt:lpstr>'EL 02003'!Print_Area</vt:lpstr>
      <vt:lpstr>'EL 02004'!Print_Area</vt:lpstr>
      <vt:lpstr>'EL 04003'!Print_Area</vt:lpstr>
      <vt:lpstr>'EL A0002'!Print_Area</vt:lpstr>
      <vt:lpstr>'EN 01001'!Print_Area</vt:lpstr>
      <vt:lpstr>'EN 01002'!Print_Area</vt:lpstr>
      <vt:lpstr>'EN 01003'!Print_Area</vt:lpstr>
      <vt:lpstr>'EN 01004'!Print_Area</vt:lpstr>
      <vt:lpstr>'EN 01005'!Print_Area</vt:lpstr>
      <vt:lpstr>'EN 01006'!Print_Area</vt:lpstr>
      <vt:lpstr>'EN 01007'!Print_Area</vt:lpstr>
      <vt:lpstr>'EN 01008'!Print_Area</vt:lpstr>
      <vt:lpstr>'EN 01009'!Print_Area</vt:lpstr>
      <vt:lpstr>'EN 02002'!Print_Area</vt:lpstr>
      <vt:lpstr>'EN 02003'!Print_Area</vt:lpstr>
      <vt:lpstr>'EN 02004'!Print_Area</vt:lpstr>
      <vt:lpstr>'EN 02005'!Print_Area</vt:lpstr>
      <vt:lpstr>'EN 02006'!Print_Area</vt:lpstr>
      <vt:lpstr>'EN 02008'!Print_Area</vt:lpstr>
      <vt:lpstr>'EN 02009'!Print_Area</vt:lpstr>
      <vt:lpstr>'EN 03001'!Print_Area</vt:lpstr>
      <vt:lpstr>'EN 03002'!Print_Area</vt:lpstr>
      <vt:lpstr>'EN 03003'!Print_Area</vt:lpstr>
      <vt:lpstr>'EN 03004'!Print_Area</vt:lpstr>
      <vt:lpstr>'EN 03005'!Print_Area</vt:lpstr>
      <vt:lpstr>'EN 03006'!Print_Area</vt:lpstr>
      <vt:lpstr>'EN 03007'!Print_Area</vt:lpstr>
      <vt:lpstr>'EN 03008'!Print_Area</vt:lpstr>
      <vt:lpstr>'EN 04001'!Print_Area</vt:lpstr>
      <vt:lpstr>'EN 04002'!Print_Area</vt:lpstr>
      <vt:lpstr>'EN 04003'!Print_Area</vt:lpstr>
      <vt:lpstr>'EN 04004'!Print_Area</vt:lpstr>
      <vt:lpstr>'EN 05001'!Print_Area</vt:lpstr>
      <vt:lpstr>'EN 05002'!Print_Area</vt:lpstr>
      <vt:lpstr>'EN 05003'!Print_Area</vt:lpstr>
      <vt:lpstr>'EN 05004'!Print_Area</vt:lpstr>
      <vt:lpstr>'EN 05005'!Print_Area</vt:lpstr>
      <vt:lpstr>'EN 05006'!Print_Area</vt:lpstr>
      <vt:lpstr>'EN 05007'!Print_Area</vt:lpstr>
      <vt:lpstr>'EN 05008'!Print_Area</vt:lpstr>
      <vt:lpstr>'EN 05009'!Print_Area</vt:lpstr>
      <vt:lpstr>'EN 06001'!Print_Area</vt:lpstr>
      <vt:lpstr>'EN 06002'!Print_Area</vt:lpstr>
      <vt:lpstr>'EN 06003'!Print_Area</vt:lpstr>
      <vt:lpstr>'EN 06004'!Print_Area</vt:lpstr>
      <vt:lpstr>'EN 06005'!Print_Area</vt:lpstr>
      <vt:lpstr>'EN 06006'!Print_Area</vt:lpstr>
      <vt:lpstr>'EN 06007'!Print_Area</vt:lpstr>
      <vt:lpstr>'EN 06008'!Print_Area</vt:lpstr>
      <vt:lpstr>'EN 06009'!Print_Area</vt:lpstr>
      <vt:lpstr>'EN 06010'!Print_Area</vt:lpstr>
      <vt:lpstr>'EN 06011'!Print_Area</vt:lpstr>
      <vt:lpstr>'EN 06012'!Print_Area</vt:lpstr>
      <vt:lpstr>'EN 06013'!Print_Area</vt:lpstr>
      <vt:lpstr>'EN 08001'!Print_Area</vt:lpstr>
      <vt:lpstr>'EN 08002'!Print_Area</vt:lpstr>
      <vt:lpstr>'EN A0001'!Print_Area</vt:lpstr>
      <vt:lpstr>'EN A0005'!Print_Area</vt:lpstr>
      <vt:lpstr>'EN A0007'!Print_Area</vt:lpstr>
      <vt:lpstr>'EN A0008'!Print_Area</vt:lpstr>
      <vt:lpstr>'FR 01001'!Print_Area</vt:lpstr>
      <vt:lpstr>'FR 01003'!Print_Area</vt:lpstr>
      <vt:lpstr>'FR 02002'!Print_Area</vt:lpstr>
      <vt:lpstr>'FR 04022'!Print_Area</vt:lpstr>
      <vt:lpstr>'FR 05001'!Print_Area</vt:lpstr>
      <vt:lpstr>'FR 05005'!Print_Area</vt:lpstr>
      <vt:lpstr>'FR 05007'!Print_Area</vt:lpstr>
      <vt:lpstr>'FR 05008'!Print_Area</vt:lpstr>
      <vt:lpstr>'FR 06001'!Print_Area</vt:lpstr>
      <vt:lpstr>'FR 06002'!Print_Area</vt:lpstr>
      <vt:lpstr>'FR 06003'!Print_Area</vt:lpstr>
      <vt:lpstr>'FR 07004'!Print_Area</vt:lpstr>
      <vt:lpstr>'FR 07006'!Print_Area</vt:lpstr>
      <vt:lpstr>'FR 08001'!Print_Area</vt:lpstr>
      <vt:lpstr>'FR A0001'!Print_Area</vt:lpstr>
      <vt:lpstr>'FR A0002'!Print_Area</vt:lpstr>
      <vt:lpstr>'FR A0004'!Print_Area</vt:lpstr>
      <vt:lpstr>'FR A0006'!Print_Area</vt:lpstr>
      <vt:lpstr>'MS 01001'!Print_Area</vt:lpstr>
      <vt:lpstr>'MS 01002'!Print_Area</vt:lpstr>
      <vt:lpstr>'MS 01003'!Print_Area</vt:lpstr>
      <vt:lpstr>'MS 01004'!Print_Area</vt:lpstr>
      <vt:lpstr>'MS 01005'!Print_Area</vt:lpstr>
      <vt:lpstr>'MS 01006'!Print_Area</vt:lpstr>
      <vt:lpstr>'MS 01007'!Print_Area</vt:lpstr>
      <vt:lpstr>'MS 01008'!Print_Area</vt:lpstr>
      <vt:lpstr>'MS 01009'!Print_Area</vt:lpstr>
      <vt:lpstr>'MS 01010'!Print_Area</vt:lpstr>
      <vt:lpstr>'MS 01011'!Print_Area</vt:lpstr>
      <vt:lpstr>'MS 01012'!Print_Area</vt:lpstr>
      <vt:lpstr>'MS 01013'!Print_Area</vt:lpstr>
      <vt:lpstr>'MS 01014'!Print_Area</vt:lpstr>
      <vt:lpstr>'MS 01015'!Print_Area</vt:lpstr>
      <vt:lpstr>'MS 02001'!Print_Area</vt:lpstr>
      <vt:lpstr>'MS 05001'!Print_Area</vt:lpstr>
      <vt:lpstr>'MS 05006'!Print_Area</vt:lpstr>
      <vt:lpstr>'MS 05007'!Print_Area</vt:lpstr>
      <vt:lpstr>'MS A0002'!Print_Area</vt:lpstr>
      <vt:lpstr>'MS A0005'!Print_Area</vt:lpstr>
      <vt:lpstr>'ST 01001'!Print_Area</vt:lpstr>
      <vt:lpstr>'ST 01003'!Print_Area</vt:lpstr>
      <vt:lpstr>'ST 01004'!Print_Area</vt:lpstr>
      <vt:lpstr>'ST 04004'!Print_Area</vt:lpstr>
      <vt:lpstr>'ST A0001'!Print_Area</vt:lpstr>
      <vt:lpstr>'SU 01001'!Print_Area</vt:lpstr>
      <vt:lpstr>'SU 02001'!Print_Area</vt:lpstr>
      <vt:lpstr>'SU 03001'!Print_Area</vt:lpstr>
      <vt:lpstr>'SU 03002'!Print_Area</vt:lpstr>
      <vt:lpstr>'SU 11001'!Print_Area</vt:lpstr>
      <vt:lpstr>'SU 12001'!Print_Area</vt:lpstr>
      <vt:lpstr>'SU A0003'!Print_Area</vt:lpstr>
      <vt:lpstr>'SU A0011'!Print_Area</vt:lpstr>
      <vt:lpstr>'SU A0012'!Print_Area</vt:lpstr>
      <vt:lpstr>'WT 02001'!Print_Area</vt:lpstr>
      <vt:lpstr>'EN 02005'!Process_P1</vt:lpstr>
      <vt:lpstr>'EN 02008'!Process_P1</vt:lpstr>
      <vt:lpstr>'EN 05001'!Process_P1</vt:lpstr>
      <vt:lpstr>'EN 05008'!Process_P1</vt:lpstr>
      <vt:lpstr>'EN 05009'!Process_P1</vt:lpstr>
      <vt:lpstr>'EN 06001'!Process_P1</vt:lpstr>
      <vt:lpstr>'EN 06002'!Process_P1</vt:lpstr>
      <vt:lpstr>'EN 06003'!Process_P1</vt:lpstr>
      <vt:lpstr>'EN 06004'!Process_P1</vt:lpstr>
      <vt:lpstr>'EN 06005'!Process_P1</vt:lpstr>
      <vt:lpstr>'EN 06006'!Process_P1</vt:lpstr>
      <vt:lpstr>'EN 06007'!Process_P1</vt:lpstr>
      <vt:lpstr>'EN 06008'!Process_P1</vt:lpstr>
      <vt:lpstr>'EN 06009'!Process_P1</vt:lpstr>
      <vt:lpstr>'EN 06010'!Process_P1</vt:lpstr>
      <vt:lpstr>'EN 06011'!Process_P1</vt:lpstr>
      <vt:lpstr>'EN 06012'!Process_P1</vt:lpstr>
      <vt:lpstr>'EN 06013'!Process_P1</vt:lpstr>
      <vt:lpstr>'EN 08002'!Process_P1</vt:lpstr>
      <vt:lpstr>'EN 08003'!Process_P1</vt:lpstr>
      <vt:lpstr>'FR 02001'!Process_P1</vt:lpstr>
      <vt:lpstr>'FR 02002'!Process_P1</vt:lpstr>
      <vt:lpstr>'FR 04014'!Process_P1</vt:lpstr>
      <vt:lpstr>'FR 04019'!Process_P1</vt:lpstr>
      <vt:lpstr>'FR 05002'!Process_P1</vt:lpstr>
      <vt:lpstr>'FR 05003'!Process_P1</vt:lpstr>
      <vt:lpstr>'FR 05004'!Process_P1</vt:lpstr>
      <vt:lpstr>'FR 05005'!Process_P1</vt:lpstr>
      <vt:lpstr>'FR 05006'!Process_P1</vt:lpstr>
      <vt:lpstr>'FR 05007'!Process_P1</vt:lpstr>
      <vt:lpstr>'FR 05008'!Process_P1</vt:lpstr>
      <vt:lpstr>'FR 06002'!Process_P1</vt:lpstr>
      <vt:lpstr>'FR 06003'!Process_P1</vt:lpstr>
      <vt:lpstr>'MS 01002'!Process_P1</vt:lpstr>
      <vt:lpstr>'MS 01003'!Process_P1</vt:lpstr>
      <vt:lpstr>'MS 01004'!Process_P1</vt:lpstr>
      <vt:lpstr>'MS 01005'!Process_P1</vt:lpstr>
      <vt:lpstr>'MS 01006'!Process_P1</vt:lpstr>
      <vt:lpstr>'MS 01007'!Process_P1</vt:lpstr>
      <vt:lpstr>'MS 01008'!Process_P1</vt:lpstr>
      <vt:lpstr>'MS 01009'!Process_P1</vt:lpstr>
      <vt:lpstr>'MS 01010'!Process_P1</vt:lpstr>
      <vt:lpstr>'MS 01011'!Process_P1</vt:lpstr>
      <vt:lpstr>'MS 01012'!Process_P1</vt:lpstr>
      <vt:lpstr>'MS 01013'!Process_P1</vt:lpstr>
      <vt:lpstr>'MS 01014'!Process_P1</vt:lpstr>
      <vt:lpstr>'MS 01015'!Process_P1</vt:lpstr>
      <vt:lpstr>'MS 02001'!Process_P1</vt:lpstr>
      <vt:lpstr>'SU 03002'!Process_P1</vt:lpstr>
      <vt:lpstr>'SU 04002'!Process_P1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Antoine</dc:creator>
  <cp:lastModifiedBy>Antoine</cp:lastModifiedBy>
  <cp:lastPrinted>2015-05-21T18:44:05Z</cp:lastPrinted>
  <dcterms:created xsi:type="dcterms:W3CDTF">2015-05-19T05:05:12Z</dcterms:created>
  <dcterms:modified xsi:type="dcterms:W3CDTF">2015-10-18T17:28:17Z</dcterms:modified>
</cp:coreProperties>
</file>